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8.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9.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0.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1.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12.xml" ContentType="application/vnd.openxmlformats-officedocument.drawing+xml"/>
  <Override PartName="/xl/ctrlProps/ctrlProp124.xml" ContentType="application/vnd.ms-excel.controlproperties+xml"/>
  <Override PartName="/xl/ctrlProps/ctrlProp12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26.xml" ContentType="application/vnd.ms-excel.controlproperties+xml"/>
  <Override PartName="/xl/drawings/drawing16.xml" ContentType="application/vnd.openxmlformats-officedocument.drawing+xml"/>
  <Override PartName="/xl/ctrlProps/ctrlProp12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
    </mc:Choice>
  </mc:AlternateContent>
  <xr:revisionPtr revIDLastSave="16" documentId="8_{FA68D553-12AF-4EF9-9A89-ED663AC756D3}" xr6:coauthVersionLast="47" xr6:coauthVersionMax="47" xr10:uidLastSave="{C1AF487B-345B-427B-95AB-67FF9AC16071}"/>
  <workbookProtection workbookAlgorithmName="SHA-512" workbookHashValue="p0LhkpadrHsU58V9LjCFzQ6HAqvmwT0IHxmvLb/BlnDLb83dmFAOVf7cp2WBcMGBzy0iVYQcJJ0BeyFAnZNdQg==" workbookSaltValue="zcR8tosBicTsA/1XI9IoxA==" workbookSpinCount="100000" lockStructure="1"/>
  <bookViews>
    <workbookView showSheetTabs="0" xWindow="28680" yWindow="-120" windowWidth="29040" windowHeight="15720" tabRatio="709" xr2:uid="{F188AB7D-C625-41A3-A665-1A7C8E710CC1}"/>
  </bookViews>
  <sheets>
    <sheet name="Hlavní" sheetId="97" r:id="rId1"/>
    <sheet name="Zakaznik" sheetId="80" r:id="rId2"/>
    <sheet name="Sklo" sheetId="96" r:id="rId3"/>
    <sheet name="rozpad závěsů bez prázdn. řádků" sheetId="52" state="hidden" r:id="rId4"/>
    <sheet name="Translate&amp;Prices&amp;Logo" sheetId="53" state="hidden" r:id="rId5"/>
    <sheet name="Ram_1" sheetId="32" r:id="rId6"/>
    <sheet name="kombinace_1" sheetId="50" state="hidden" r:id="rId7"/>
    <sheet name="závěsy dle výklopu" sheetId="51" state="hidden" r:id="rId8"/>
    <sheet name="Ram_2" sheetId="91" r:id="rId9"/>
    <sheet name="kombinace_2" sheetId="55" state="hidden" r:id="rId10"/>
    <sheet name="Ram_3" sheetId="92" r:id="rId11"/>
    <sheet name="kombinace_3" sheetId="57" state="hidden" r:id="rId12"/>
    <sheet name="Ram_4" sheetId="93" r:id="rId13"/>
    <sheet name="kombinace_4" sheetId="59" state="hidden" r:id="rId14"/>
    <sheet name="Ram_5" sheetId="94" r:id="rId15"/>
    <sheet name="kombinace_5" sheetId="61" state="hidden" r:id="rId16"/>
    <sheet name="Ram_6" sheetId="95" r:id="rId17"/>
    <sheet name="kombinace_6" sheetId="63" state="hidden" r:id="rId18"/>
    <sheet name="Ram_2_zaloha_old" sheetId="81" state="hidden" r:id="rId19"/>
    <sheet name="Posuv" sheetId="73" r:id="rId20"/>
    <sheet name="kombinace_posuv" sheetId="79" state="hidden" r:id="rId21"/>
    <sheet name="_souhrn" sheetId="71" r:id="rId22"/>
    <sheet name="Barevnice" sheetId="44" r:id="rId23"/>
    <sheet name="Typy profilů" sheetId="21" r:id="rId24"/>
    <sheet name="_souhrn (2)" sheetId="99" r:id="rId25"/>
    <sheet name="Posuvné rámečky" sheetId="2" r:id="rId26"/>
    <sheet name="POMOC SEZNAM PANTU" sheetId="29" state="hidden" r:id="rId27"/>
    <sheet name="Běžné rámečky" sheetId="6" r:id="rId28"/>
    <sheet name="Ceny" sheetId="17" r:id="rId29"/>
    <sheet name="Ceny_n" sheetId="30" state="hidden" r:id="rId30"/>
  </sheets>
  <definedNames>
    <definedName name="_A1" localSheetId="9">kombinace_2!$R$4:$R$48</definedName>
    <definedName name="_A1" localSheetId="11">kombinace_3!$R$4:$R$48</definedName>
    <definedName name="_A1" localSheetId="13">kombinace_4!$R$4:$R$48</definedName>
    <definedName name="_A1" localSheetId="15">kombinace_5!$R$4:$R$48</definedName>
    <definedName name="_A1" localSheetId="17">kombinace_6!$R$4:$R$48</definedName>
    <definedName name="_A1" localSheetId="20">kombinace_posuv!$R$4:$R$48</definedName>
    <definedName name="_A1">kombinace_1!$R$4:$R$42</definedName>
    <definedName name="_A2" localSheetId="9">kombinace_2!$T$4:$T$7</definedName>
    <definedName name="_A2" localSheetId="11">kombinace_3!$T$4:$T$7</definedName>
    <definedName name="_A2" localSheetId="13">kombinace_4!$T$4:$T$7</definedName>
    <definedName name="_A2" localSheetId="15">kombinace_5!$T$4:$T$7</definedName>
    <definedName name="_A2" localSheetId="17">kombinace_6!$T$4:$T$7</definedName>
    <definedName name="_A2" localSheetId="20">kombinace_posuv!$T$4:$T$7</definedName>
    <definedName name="_A2">kombinace_1!$T$4:$T$7</definedName>
    <definedName name="_A3" localSheetId="9">kombinace_2!$V$4:$V$43</definedName>
    <definedName name="_A3" localSheetId="11">kombinace_3!$V$4:$V$43</definedName>
    <definedName name="_A3" localSheetId="13">kombinace_4!$V$4:$V$43</definedName>
    <definedName name="_A3" localSheetId="15">kombinace_5!$V$4:$V$43</definedName>
    <definedName name="_A3" localSheetId="17">kombinace_6!$V$4:$V$43</definedName>
    <definedName name="_A3" localSheetId="20">kombinace_posuv!$V$4:$V$43</definedName>
    <definedName name="_A3">kombinace_1!$V$4:$V$40</definedName>
    <definedName name="_corleone">kombinace_1!$Q$4:$Q$62</definedName>
    <definedName name="_xlnm._FilterDatabase" localSheetId="28" hidden="1">Ceny!#REF!</definedName>
    <definedName name="_xlnm._FilterDatabase" localSheetId="29" hidden="1">Ceny_n!#REF!</definedName>
    <definedName name="_xlnm._FilterDatabase" localSheetId="26" hidden="1">'POMOC SEZNAM PANTU'!$A$1:$AJ$55</definedName>
    <definedName name="_xlnm._FilterDatabase" localSheetId="3" hidden="1">'rozpad závěsů bez prázdn. řádků'!$A$1:$F$64</definedName>
    <definedName name="_kombinovane_profily" localSheetId="20">kombinace_posuv!$F$14:$F$19</definedName>
    <definedName name="_kombinovane_profily">kombinace_1!$F$14:$F$19</definedName>
    <definedName name="_N1" localSheetId="9">kombinace_2!$Q$4:$Q$61</definedName>
    <definedName name="_N1" localSheetId="11">kombinace_3!$Q$4:$Q$61</definedName>
    <definedName name="_N1" localSheetId="13">kombinace_4!$Q$4:$Q$61</definedName>
    <definedName name="_N1" localSheetId="15">kombinace_5!$Q$4:$Q$61</definedName>
    <definedName name="_N1" localSheetId="17">kombinace_6!$Q$4:$Q$61</definedName>
    <definedName name="_N1" localSheetId="20">kombinace_posuv!$Q$4:$Q$61</definedName>
    <definedName name="_N1">kombinace_1!$Q$4:$Q$62</definedName>
    <definedName name="_N2" localSheetId="9">kombinace_2!$S$4:$S$19</definedName>
    <definedName name="_N2" localSheetId="11">kombinace_3!$S$4:$S$19</definedName>
    <definedName name="_N2" localSheetId="13">kombinace_4!$S$4:$S$19</definedName>
    <definedName name="_N2" localSheetId="15">kombinace_5!$S$4:$S$19</definedName>
    <definedName name="_N2" localSheetId="17">kombinace_6!$S$4:$S$19</definedName>
    <definedName name="_N2" localSheetId="20">kombinace_posuv!$S$4:$S$19</definedName>
    <definedName name="_N2">kombinace_1!$S$4:$S$23</definedName>
    <definedName name="_N3" localSheetId="9">kombinace_2!$U$4:$U$43</definedName>
    <definedName name="_N3" localSheetId="11">kombinace_3!$U$4:$U$43</definedName>
    <definedName name="_N3" localSheetId="13">kombinace_4!$U$4:$U$43</definedName>
    <definedName name="_N3" localSheetId="15">kombinace_5!$U$4:$U$43</definedName>
    <definedName name="_N3" localSheetId="17">kombinace_6!$U$4:$U$43</definedName>
    <definedName name="_N3" localSheetId="20">kombinace_posuv!$U$4:$U$43</definedName>
    <definedName name="_N3">kombinace_1!$U$4:$U$40</definedName>
    <definedName name="_obrazek" localSheetId="9">IF(kombinace_2!$H$1="PRAVDA",kombinace_2!$G$23,IF(kombinace_2!$H$1="NEPRAVDA",kombinace_2!$G$31,0))</definedName>
    <definedName name="_obrazek" localSheetId="11">IF(kombinace_3!$H$1="PRAVDA",kombinace_3!$G$23,IF(kombinace_3!$H$1="NEPRAVDA",kombinace_3!$G$31,0))</definedName>
    <definedName name="_obrazek" localSheetId="13">IF(kombinace_4!$H$1="PRAVDA",kombinace_4!$G$23,IF(kombinace_4!$H$1="NEPRAVDA",kombinace_4!$G$31,0))</definedName>
    <definedName name="_obrazek" localSheetId="15">IF(kombinace_5!$H$1="PRAVDA",kombinace_5!$G$23,IF(kombinace_5!$H$1="NEPRAVDA",kombinace_5!$G$31,0))</definedName>
    <definedName name="_obrazek" localSheetId="17">IF(kombinace_6!$H$1="PRAVDA",kombinace_6!$G$23,IF(kombinace_6!$H$1="NEPRAVDA",kombinace_6!$G$31,0))</definedName>
    <definedName name="_obrazek" localSheetId="20">IF(kombinace_posuv!$H$1="PRAVDA",kombinace_posuv!$G$23,IF(kombinace_posuv!$H$1="NEPRAVDA",kombinace_posuv!$G$31,0))</definedName>
    <definedName name="_obrazek">IF(kombinace_1!$H$1="PRAVDA",kombinace_1!$G$23,IF(kombinace_1!$H$1="NEPRAVDA",kombinace_1!$G$31,0))</definedName>
    <definedName name="_pocet_sprzosy" localSheetId="9">kombinace_2!$BY$18:$BY$27</definedName>
    <definedName name="_pocet_sprzosy" localSheetId="11">kombinace_3!$BY$18:$BY$27</definedName>
    <definedName name="_pocet_sprzosy" localSheetId="13">kombinace_4!$BY$18:$BY$27</definedName>
    <definedName name="_pocet_sprzosy" localSheetId="15">kombinace_5!$BY$18:$BY$27</definedName>
    <definedName name="_pocet_sprzosy" localSheetId="17">kombinace_6!$BY$18:$BY$27</definedName>
    <definedName name="_pocet_sprzosy" localSheetId="20">kombinace_posuv!$BY$18:$BY$27</definedName>
    <definedName name="_pocet_sprzosy">kombinace_1!$BY$18:$BY$27</definedName>
    <definedName name="_profily_síťka">kombinace_1!$FC$4:$FC$13</definedName>
    <definedName name="_ramena_HL">'Translate&amp;Prices&amp;Logo'!$B$616:$B$624</definedName>
    <definedName name="_roletka_predely">Ram_1!$H$36:$H$38</definedName>
    <definedName name="_Roletka_predely_2">Ram_2!$H$36:$H$38</definedName>
    <definedName name="_Roletka_predely_3">Ram_3!$H$36:$H$38</definedName>
    <definedName name="_Roletka_predely_4">Ram_4!$H$36:$H$38</definedName>
    <definedName name="_Roletka_predely_5">Ram_5!$H$36:$H$38</definedName>
    <definedName name="_Roletka_predely_6">Ram_6!$H$36:$H$38</definedName>
    <definedName name="_Roletka_profil_1">Ram_1!$B$36:$B$100</definedName>
    <definedName name="_Roletka_profil_2">Ram_2!$B$36:$B$100</definedName>
    <definedName name="_Roletka_profil_3">Ram_3!$B$36:$B$100</definedName>
    <definedName name="_Roletka_profil_4">Ram_4!$B$36:$B$100</definedName>
    <definedName name="_Roletka_profil_5">Ram_5!$B$36:$B$100</definedName>
    <definedName name="_Roletka_profil_6">Ram_6!$B$36:$B$100</definedName>
    <definedName name="_Salice_naložený">kombinace_1!$FA$2:$FA$9</definedName>
    <definedName name="_strong_vzpera_horni">'Translate&amp;Prices&amp;Logo'!$B$593:$B$612</definedName>
    <definedName name="_stronglift_klopna">'Translate&amp;Prices&amp;Logo'!$B$614:$B$615</definedName>
    <definedName name="_široký_alsó_K12">kombinace_1!$CX$23:$CX$26</definedName>
    <definedName name="_široký_alsó_Kraby">kombinace_1!$DB$23:$DB$26</definedName>
    <definedName name="_široký_Automatická_vzpěra" localSheetId="9">kombinace_2!$DH$5:$DH$10</definedName>
    <definedName name="_široký_Automatická_vzpěra" localSheetId="11">kombinace_3!$DH$5:$DH$10</definedName>
    <definedName name="_široký_Automatická_vzpěra" localSheetId="13">kombinace_4!$DH$5:$DH$10</definedName>
    <definedName name="_široký_Automatická_vzpěra" localSheetId="15">kombinace_5!$DH$5:$DH$10</definedName>
    <definedName name="_široký_Automatická_vzpěra" localSheetId="17">kombinace_6!$DH$5:$DH$10</definedName>
    <definedName name="_široký_Automatická_vzpěra" localSheetId="20">kombinace_posuv!$DH$5:$DH$10</definedName>
    <definedName name="_široký_Aventos_HF" localSheetId="9">kombinace_2!$CH$5</definedName>
    <definedName name="_široký_Aventos_HF" localSheetId="11">kombinace_3!$CH$5</definedName>
    <definedName name="_široký_Aventos_HF" localSheetId="13">kombinace_4!$CH$5</definedName>
    <definedName name="_široký_Aventos_HF" localSheetId="15">kombinace_5!$CH$5</definedName>
    <definedName name="_široký_Aventos_HF" localSheetId="17">kombinace_6!$CH$5</definedName>
    <definedName name="_široký_Aventos_HF" localSheetId="20">kombinace_posuv!$CH$5</definedName>
    <definedName name="_široký_Aventos_HF_TOP">kombinace_1!$CH$5</definedName>
    <definedName name="_široký_Aventos_HK_XS" localSheetId="9">kombinace_2!$CJ$5</definedName>
    <definedName name="_široký_Aventos_HK_XS" localSheetId="11">kombinace_3!$CJ$5</definedName>
    <definedName name="_široký_Aventos_HK_XS" localSheetId="13">kombinace_4!$CJ$5</definedName>
    <definedName name="_široký_Aventos_HK_XS" localSheetId="15">kombinace_5!$CJ$5</definedName>
    <definedName name="_široký_Aventos_HK_XS" localSheetId="17">kombinace_6!$CJ$5</definedName>
    <definedName name="_široký_Aventos_HK_XS" localSheetId="20">kombinace_posuv!$CJ$5</definedName>
    <definedName name="_široký_Aventos_HK_XS">kombinace_1!$CJ$5</definedName>
    <definedName name="_široký_BLUM_naložený">'rozpad závěsů bez prázdn. řádků'!$G$23:$G$26</definedName>
    <definedName name="_široký_BLUM_polonaložený">'rozpad závěsů bez prázdn. řádků'!$G$27:$G$30</definedName>
    <definedName name="_široký_BLUM_vložený">'rozpad závěsů bez prázdn. řádků'!$G$31:$G$34</definedName>
    <definedName name="_široký_dolny_K12">kombinace_1!$CX$15:$CX$18</definedName>
    <definedName name="_široký_dolny_Kraby">kombinace_1!$DB$15:$DB$18</definedName>
    <definedName name="_široký_Duo" localSheetId="9">kombinace_2!$CT$5:$CT$10</definedName>
    <definedName name="_široký_Duo" localSheetId="11">kombinace_3!$CT$5:$CT$10</definedName>
    <definedName name="_široký_Duo" localSheetId="13">kombinace_4!$CT$5:$CT$10</definedName>
    <definedName name="_široký_Duo" localSheetId="15">kombinace_5!$CT$5:$CT$10</definedName>
    <definedName name="_široký_Duo" localSheetId="17">kombinace_6!$CT$5:$CT$10</definedName>
    <definedName name="_široký_Duo" localSheetId="20">kombinace_posuv!$CT$5:$CT$10</definedName>
    <definedName name="_široký_Duo">kombinace_1!$CT$5:$CT$10</definedName>
    <definedName name="_široký_Duo_Forte" localSheetId="9">kombinace_2!$CR$5:$CR$10</definedName>
    <definedName name="_široký_Duo_Forte" localSheetId="11">kombinace_3!$CR$5:$CR$10</definedName>
    <definedName name="_široký_Duo_Forte" localSheetId="13">kombinace_4!$CR$5:$CR$10</definedName>
    <definedName name="_široký_Duo_Forte" localSheetId="15">kombinace_5!$CR$5:$CR$10</definedName>
    <definedName name="_široký_Duo_Forte" localSheetId="17">kombinace_6!$CR$5:$CR$10</definedName>
    <definedName name="_široký_Duo_Forte" localSheetId="20">kombinace_posuv!$CR$5:$CR$10</definedName>
    <definedName name="_široký_Duo_Forte">kombinace_1!$CR$5:$CR$10</definedName>
    <definedName name="_široký_FREEfold" localSheetId="9">kombinace_2!$CN$5:$CN$10</definedName>
    <definedName name="_široký_FREEfold" localSheetId="11">kombinace_3!$CN$5:$CN$10</definedName>
    <definedName name="_široký_FREEfold" localSheetId="13">kombinace_4!$CN$5:$CN$10</definedName>
    <definedName name="_široký_FREEfold" localSheetId="15">kombinace_5!$CN$5:$CN$10</definedName>
    <definedName name="_široký_FREEfold" localSheetId="17">kombinace_6!$CN$5:$CN$10</definedName>
    <definedName name="_široký_FREEfold" localSheetId="20">kombinace_posuv!$CN$5:$CN$10</definedName>
    <definedName name="_široký_FREEfold">kombinace_1!$CN$5</definedName>
    <definedName name="_široký_FREElight" localSheetId="9">kombinace_2!$CL$5:$CL$10</definedName>
    <definedName name="_široký_FREElight" localSheetId="11">kombinace_3!$CL$5:$CL$10</definedName>
    <definedName name="_široký_FREElight" localSheetId="13">kombinace_4!$CL$5:$CL$10</definedName>
    <definedName name="_široký_FREElight" localSheetId="15">kombinace_5!$CL$5:$CL$10</definedName>
    <definedName name="_široký_FREElight" localSheetId="17">kombinace_6!$CL$5:$CL$10</definedName>
    <definedName name="_široký_FREElight" localSheetId="20">kombinace_posuv!$CL$5:$CL$10</definedName>
    <definedName name="_široký_FREElight">kombinace_1!$CL$5:$CL$10</definedName>
    <definedName name="_široký_HETTICH_naložený">'rozpad závěsů bez prázdn. řádků'!$G$35:$G$39</definedName>
    <definedName name="_široký_HETTICH_polonaložený">'rozpad závěsů bez prázdn. řádků'!$G$40:$G$44</definedName>
    <definedName name="_široký_HETTICH_vložený">'rozpad závěsů bez prázdn. řádků'!$G$45:$G$49</definedName>
    <definedName name="_široký_K12" localSheetId="9">kombinace_2!$CV$5:$CV$10</definedName>
    <definedName name="_široký_K12" localSheetId="11">kombinace_3!$CV$5:$CV$10</definedName>
    <definedName name="_široký_K12" localSheetId="13">kombinace_4!$CV$5:$CV$10</definedName>
    <definedName name="_široký_K12" localSheetId="15">kombinace_5!$CV$5:$CV$10</definedName>
    <definedName name="_široký_K12" localSheetId="17">kombinace_6!$CV$5:$CV$10</definedName>
    <definedName name="_široký_K12" localSheetId="20">kombinace_posuv!$CV$5:$CV$10</definedName>
    <definedName name="_široký_K12">kombinace_1!$CV$5:$CV$10</definedName>
    <definedName name="_široký_Kiaro" localSheetId="9">kombinace_2!$DD$5:$DD$8</definedName>
    <definedName name="_široký_Kiaro" localSheetId="11">kombinace_3!$DD$5:$DD$8</definedName>
    <definedName name="_široký_Kiaro" localSheetId="13">kombinace_4!$DD$5:$DD$8</definedName>
    <definedName name="_široký_Kiaro" localSheetId="15">kombinace_5!$DD$5:$DD$8</definedName>
    <definedName name="_široký_Kiaro" localSheetId="17">kombinace_6!$DD$5:$DD$8</definedName>
    <definedName name="_široký_Kiaro" localSheetId="20">kombinace_posuv!$DD$5:$DD$8</definedName>
    <definedName name="_široký_Kiaro">kombinace_1!$DD$5:$DD$8</definedName>
    <definedName name="_široký_Kraby" localSheetId="9">kombinace_2!$CZ$5:$CZ$10</definedName>
    <definedName name="_široký_Kraby" localSheetId="11">kombinace_3!$CZ$5:$CZ$10</definedName>
    <definedName name="_široký_Kraby" localSheetId="13">kombinace_4!$CZ$5:$CZ$10</definedName>
    <definedName name="_široký_Kraby" localSheetId="15">kombinace_5!$CZ$5:$CZ$10</definedName>
    <definedName name="_široký_Kraby" localSheetId="17">kombinace_6!$CZ$5:$CZ$10</definedName>
    <definedName name="_široký_Kraby" localSheetId="20">kombinace_posuv!$CZ$5:$CZ$10</definedName>
    <definedName name="_široký_Kraby">kombinace_1!$CZ$5:$CZ$10</definedName>
    <definedName name="_široký_LiftMini" localSheetId="9">kombinace_2!$DL$5:$DL$8</definedName>
    <definedName name="_široký_LiftMini" localSheetId="11">kombinace_3!$DL$5:$DL$8</definedName>
    <definedName name="_široký_LiftMini" localSheetId="13">kombinace_4!$DL$5:$DL$8</definedName>
    <definedName name="_široký_LiftMini" localSheetId="15">kombinace_5!$DL$5:$DL$8</definedName>
    <definedName name="_široký_LiftMini" localSheetId="17">kombinace_6!$DL$5:$DL$8</definedName>
    <definedName name="_široký_LiftMini" localSheetId="20">kombinace_posuv!$DL$5:$DL$8</definedName>
    <definedName name="_široký_LiftMini">kombinace_1!$DL$5:$DL$8</definedName>
    <definedName name="_široký_Link" localSheetId="9">kombinace_2!$DF$5:$DF$8</definedName>
    <definedName name="_široký_Link" localSheetId="11">kombinace_3!$DF$5:$DF$8</definedName>
    <definedName name="_široký_Link" localSheetId="13">kombinace_4!$DF$5:$DF$8</definedName>
    <definedName name="_široký_Link" localSheetId="15">kombinace_5!$DF$5:$DF$8</definedName>
    <definedName name="_široký_Link" localSheetId="17">kombinace_6!$DF$5:$DF$8</definedName>
    <definedName name="_široký_Link" localSheetId="20">kombinace_posuv!$DF$5:$DF$8</definedName>
    <definedName name="_široký_Link">kombinace_1!$DF$5:$DF$8</definedName>
    <definedName name="_široký_Maxi" localSheetId="9">kombinace_2!$CP$5:$CP$10</definedName>
    <definedName name="_široký_Maxi" localSheetId="11">kombinace_3!$CP$5:$CP$10</definedName>
    <definedName name="_široký_Maxi" localSheetId="13">kombinace_4!$CP$5:$CP$10</definedName>
    <definedName name="_široký_Maxi" localSheetId="15">kombinace_5!$CP$5:$CP$10</definedName>
    <definedName name="_široký_Maxi" localSheetId="17">kombinace_6!$CP$5:$CP$10</definedName>
    <definedName name="_široký_Maxi" localSheetId="20">kombinace_posuv!$CP$5:$CP$10</definedName>
    <definedName name="_široký_Maxi">kombinace_1!$CP$5:$CP$10</definedName>
    <definedName name="_široký_Polohovací_vzpěra" localSheetId="9">kombinace_2!$DJ$5:$DJ$10</definedName>
    <definedName name="_široký_Polohovací_vzpěra" localSheetId="11">kombinace_3!$DJ$5:$DJ$10</definedName>
    <definedName name="_široký_Polohovací_vzpěra" localSheetId="13">kombinace_4!$DJ$5:$DJ$10</definedName>
    <definedName name="_široký_Polohovací_vzpěra" localSheetId="15">kombinace_5!$DJ$5:$DJ$10</definedName>
    <definedName name="_široký_Polohovací_vzpěra" localSheetId="17">kombinace_6!$DJ$5:$DJ$10</definedName>
    <definedName name="_široký_Polohovací_vzpěra" localSheetId="20">kombinace_posuv!$DJ$5:$DJ$10</definedName>
    <definedName name="_široký_Spodní_K12" localSheetId="9">kombinace_2!$CX$5:$CX$8</definedName>
    <definedName name="_široký_Spodní_K12" localSheetId="11">kombinace_3!$CX$5:$CX$8</definedName>
    <definedName name="_široký_Spodní_K12" localSheetId="13">kombinace_4!$CX$5:$CX$8</definedName>
    <definedName name="_široký_Spodní_K12" localSheetId="15">kombinace_5!$CX$5:$CX$8</definedName>
    <definedName name="_široký_Spodní_K12" localSheetId="17">kombinace_6!$CX$5:$CX$8</definedName>
    <definedName name="_široký_Spodní_K12" localSheetId="20">kombinace_posuv!$CX$5:$CX$8</definedName>
    <definedName name="_široký_Spodní_K12">kombinace_1!$CX$5:$CX$8</definedName>
    <definedName name="_široký_Spodní_Kraby" localSheetId="9">kombinace_2!$DB$5:$DB$8</definedName>
    <definedName name="_široký_Spodní_Kraby" localSheetId="11">kombinace_3!$DB$5:$DB$8</definedName>
    <definedName name="_široký_Spodní_Kraby" localSheetId="13">kombinace_4!$DB$5:$DB$8</definedName>
    <definedName name="_široký_Spodní_Kraby" localSheetId="15">kombinace_5!$DB$5:$DB$8</definedName>
    <definedName name="_široký_Spodní_Kraby" localSheetId="17">kombinace_6!$DB$5:$DB$8</definedName>
    <definedName name="_široký_Spodní_Kraby" localSheetId="20">kombinace_posuv!$DB$5:$DB$8</definedName>
    <definedName name="_široký_Spodní_Kraby">kombinace_1!$DB$5:$DB$8</definedName>
    <definedName name="_široký_STRONGHINGESS3_naložený">'rozpad závěsů bez prázdn. řádků'!$G$56:$G$58</definedName>
    <definedName name="_široký_STRONGHINGESS3_polonaložený">'rozpad závěsů bez prázdn. řádků'!$G$59:$G$61</definedName>
    <definedName name="_široký_STRONGHINGESS3_vložený">'rozpad závěsů bez prázdn. řádků'!$G$62:$G$64</definedName>
    <definedName name="_široký_STRONGHINGESS5_naložený">'rozpad závěsů bez prázdn. řádků'!$G$50:$G$51</definedName>
    <definedName name="_široký_STRONGHINGESS5_polonaložený">'rozpad závěsů bez prázdn. řádků'!$G$52:$G$53</definedName>
    <definedName name="_široký_STRONGHINGESS5_vložený">'rozpad závěsů bez prázdn. řádků'!$G$54:$G$55</definedName>
    <definedName name="_široký_Stronglift_alsó">kombinace_1!$DJ$24:$DJ$29</definedName>
    <definedName name="_široký_Stronglift_dolny">kombinace_1!$DJ$16:$DJ$21</definedName>
    <definedName name="_široký_Stronglift_felső">kombinace_1!$DH$24:$DH$29</definedName>
    <definedName name="_široký_Stronglift_gorny">kombinace_1!$DH$16:$DH$21</definedName>
    <definedName name="_široký_Stronglift_horní">kombinace_1!$DH$5:$DH$10</definedName>
    <definedName name="_široký_Stronglift_spodní">kombinace_1!$DJ$5:$DJ$10</definedName>
    <definedName name="_umisteni_zavesu" localSheetId="20">kombinace_posuv!$BY$3:$BY$6</definedName>
    <definedName name="_umisteni_zavesu">kombinace_1!$BY$3:$BY$6</definedName>
    <definedName name="_umisteni_zavesu_vyklop" localSheetId="20">kombinace_posuv!$BY$5:$BY$6</definedName>
    <definedName name="_umisteni_zavesu_vyklop">kombinace_1!$BY$5:$BY$6</definedName>
    <definedName name="_Úzký_alsó_K12">kombinace_1!$CW$23:$CW$25</definedName>
    <definedName name="_Úzký_alsó_Kraby">kombinace_1!$DA$23:$DA$25</definedName>
    <definedName name="_Úzký_Automatická_vzpěra" localSheetId="9">kombinace_2!$DG$5:$DG$12</definedName>
    <definedName name="_Úzký_Automatická_vzpěra" localSheetId="11">kombinace_3!$DG$5:$DG$12</definedName>
    <definedName name="_Úzký_Automatická_vzpěra" localSheetId="13">kombinace_4!$DG$5:$DG$12</definedName>
    <definedName name="_Úzký_Automatická_vzpěra" localSheetId="15">kombinace_5!$DG$5:$DG$12</definedName>
    <definedName name="_Úzký_Automatická_vzpěra" localSheetId="17">kombinace_6!$DG$5:$DG$12</definedName>
    <definedName name="_Úzký_Automatická_vzpěra" localSheetId="20">kombinace_posuv!$DG$5:$DG$12</definedName>
    <definedName name="_Úzký_Aventos_HF_TOP">kombinace_1!$CG$5</definedName>
    <definedName name="_Úzký_Aventos_HK_XS" localSheetId="9">kombinace_2!$CI$5</definedName>
    <definedName name="_Úzký_Aventos_HK_XS" localSheetId="11">kombinace_3!$CI$5</definedName>
    <definedName name="_Úzký_Aventos_HK_XS" localSheetId="13">kombinace_4!$CI$5</definedName>
    <definedName name="_Úzký_Aventos_HK_XS" localSheetId="15">kombinace_5!$CI$5</definedName>
    <definedName name="_Úzký_Aventos_HK_XS" localSheetId="17">kombinace_6!$CI$5</definedName>
    <definedName name="_Úzký_Aventos_HK_XS" localSheetId="20">kombinace_posuv!$CI$5</definedName>
    <definedName name="_Úzký_Aventos_HK_XS">kombinace_1!$CI$5</definedName>
    <definedName name="_úzký_BLUM_naložený">'rozpad závěsů bez prázdn. řádků'!$G$2:$G$5</definedName>
    <definedName name="_úzký_BLUM_naložený_Rocca">'rozpad závěsů bez prázdn. řádků'!$G$3:$G$5</definedName>
    <definedName name="_úzký_BLUM_polonaložený">'rozpad závěsů bez prázdn. řádků'!$G$6:$G$7</definedName>
    <definedName name="_úzký_BLUM_polonaložený_Rocca">'rozpad závěsů bez prázdn. řádků'!$G$7</definedName>
    <definedName name="_úzký_BLUM_vložený">'rozpad závěsů bez prázdn. řádků'!$G$8:$G$9</definedName>
    <definedName name="_úzký_BLUM_vložený_Rocca">'rozpad závěsů bez prázdn. řádků'!$G$9</definedName>
    <definedName name="_Úzký_dolny_K12">kombinace_1!$CW$15:$CW$17</definedName>
    <definedName name="_Úzký_dolny_Kraby">kombinace_1!$DA$15:$DA$17</definedName>
    <definedName name="_Úzký_Duo" localSheetId="9">kombinace_2!$CS$5:$CS$12</definedName>
    <definedName name="_Úzký_Duo" localSheetId="11">kombinace_3!$CS$5:$CS$12</definedName>
    <definedName name="_Úzký_Duo" localSheetId="13">kombinace_4!$CS$5:$CS$12</definedName>
    <definedName name="_Úzký_Duo" localSheetId="15">kombinace_5!$CS$5:$CS$12</definedName>
    <definedName name="_Úzký_Duo" localSheetId="17">kombinace_6!$CS$5:$CS$12</definedName>
    <definedName name="_Úzký_Duo" localSheetId="20">kombinace_posuv!$CS$5:$CS$12</definedName>
    <definedName name="_Úzký_Duo">kombinace_1!$CS$5:$CS$10</definedName>
    <definedName name="_Úzký_Duo_Forte" localSheetId="9">kombinace_2!$CQ$5:$CQ$12</definedName>
    <definedName name="_Úzký_Duo_Forte" localSheetId="11">kombinace_3!$CQ$5:$CQ$12</definedName>
    <definedName name="_Úzký_Duo_Forte" localSheetId="13">kombinace_4!$CQ$5:$CQ$12</definedName>
    <definedName name="_Úzký_Duo_Forte" localSheetId="15">kombinace_5!$CQ$5:$CQ$12</definedName>
    <definedName name="_Úzký_Duo_Forte" localSheetId="17">kombinace_6!$CQ$5:$CQ$12</definedName>
    <definedName name="_Úzký_Duo_Forte" localSheetId="20">kombinace_posuv!$CQ$5:$CQ$12</definedName>
    <definedName name="_Úzký_Duo_Forte">kombinace_1!$CQ$5:$CQ$10</definedName>
    <definedName name="_Úzký_FREEfold" localSheetId="9">kombinace_2!$CM$5:$CM$12</definedName>
    <definedName name="_Úzký_FREEfold" localSheetId="11">kombinace_3!$CM$5:$CM$12</definedName>
    <definedName name="_Úzký_FREEfold" localSheetId="13">kombinace_4!$CM$5:$CM$12</definedName>
    <definedName name="_Úzký_FREEfold" localSheetId="15">kombinace_5!$CM$5:$CM$12</definedName>
    <definedName name="_Úzký_FREEfold" localSheetId="17">kombinace_6!$CM$5:$CM$12</definedName>
    <definedName name="_Úzký_FREEfold" localSheetId="20">kombinace_posuv!$CM$5:$CM$12</definedName>
    <definedName name="_Úzký_FREEfold">kombinace_1!$CM$5</definedName>
    <definedName name="_Úzký_FREElight" localSheetId="9">kombinace_2!$CK$5:$CK$12</definedName>
    <definedName name="_Úzký_FREElight" localSheetId="11">kombinace_3!$CK$5:$CK$12</definedName>
    <definedName name="_Úzký_FREElight" localSheetId="13">kombinace_4!$CK$5:$CK$12</definedName>
    <definedName name="_Úzký_FREElight" localSheetId="15">kombinace_5!$CK$5:$CK$12</definedName>
    <definedName name="_Úzký_FREElight" localSheetId="17">kombinace_6!$CK$5:$CK$12</definedName>
    <definedName name="_Úzký_FREElight" localSheetId="20">kombinace_posuv!$CK$5:$CK$12</definedName>
    <definedName name="_Úzký_FREElight">kombinace_1!$CK$5:$CK$10</definedName>
    <definedName name="_úzký_HETTICH_naložený">'rozpad závěsů bez prázdn. řádků'!$G$10:$G$13</definedName>
    <definedName name="_úzký_HETTICH_polonaložený">'rozpad závěsů bez prázdn. řádků'!$G$14:$G$16</definedName>
    <definedName name="_úzký_HETTICH_vložený">'rozpad závěsů bez prázdn. řádků'!$G$17:$G$19</definedName>
    <definedName name="_Úzký_K12" localSheetId="9">kombinace_2!$CU$5:$CU$12</definedName>
    <definedName name="_Úzký_K12" localSheetId="11">kombinace_3!$CU$5:$CU$12</definedName>
    <definedName name="_Úzký_K12" localSheetId="13">kombinace_4!$CU$5:$CU$12</definedName>
    <definedName name="_Úzký_K12" localSheetId="15">kombinace_5!$CU$5:$CU$12</definedName>
    <definedName name="_Úzký_K12" localSheetId="17">kombinace_6!$CU$5:$CU$12</definedName>
    <definedName name="_Úzký_K12" localSheetId="20">kombinace_posuv!$CU$5:$CU$12</definedName>
    <definedName name="_Úzký_K12">kombinace_1!$CU$5:$CU$10</definedName>
    <definedName name="_Úzký_Kiaro" localSheetId="9">kombinace_2!$DC$5:$DC$7</definedName>
    <definedName name="_Úzký_Kiaro" localSheetId="11">kombinace_3!$DC$5:$DC$7</definedName>
    <definedName name="_Úzký_Kiaro" localSheetId="13">kombinace_4!$DC$5:$DC$7</definedName>
    <definedName name="_Úzký_Kiaro" localSheetId="15">kombinace_5!$DC$5:$DC$7</definedName>
    <definedName name="_Úzký_Kiaro" localSheetId="17">kombinace_6!$DC$5:$DC$7</definedName>
    <definedName name="_Úzký_Kiaro" localSheetId="20">kombinace_posuv!$DC$5:$DC$7</definedName>
    <definedName name="_Úzký_Kiaro">kombinace_1!$DC$5:$DC$7</definedName>
    <definedName name="_Úzký_Kraby" localSheetId="9">kombinace_2!$CY$5:$CY$12</definedName>
    <definedName name="_Úzký_Kraby" localSheetId="11">kombinace_3!$CY$5:$CY$12</definedName>
    <definedName name="_Úzký_Kraby" localSheetId="13">kombinace_4!$CY$5:$CY$12</definedName>
    <definedName name="_Úzký_Kraby" localSheetId="15">kombinace_5!$CY$5:$CY$12</definedName>
    <definedName name="_Úzký_Kraby" localSheetId="17">kombinace_6!$CY$5:$CY$12</definedName>
    <definedName name="_Úzký_Kraby" localSheetId="20">kombinace_posuv!$CY$5:$CY$12</definedName>
    <definedName name="_Úzký_Kraby">kombinace_1!$CY$5:$CY$10</definedName>
    <definedName name="_Úzký_LiftMini" localSheetId="9">kombinace_2!$DK$5:$DK$7</definedName>
    <definedName name="_Úzký_LiftMini" localSheetId="11">kombinace_3!$DK$5:$DK$7</definedName>
    <definedName name="_Úzký_LiftMini" localSheetId="13">kombinace_4!$DK$5:$DK$7</definedName>
    <definedName name="_Úzký_LiftMini" localSheetId="15">kombinace_5!$DK$5:$DK$7</definedName>
    <definedName name="_Úzký_LiftMini" localSheetId="17">kombinace_6!$DK$5:$DK$7</definedName>
    <definedName name="_Úzký_LiftMini" localSheetId="20">kombinace_posuv!$DK$5:$DK$7</definedName>
    <definedName name="_Úzký_LiftMini">kombinace_1!$DK$5:$DK$7</definedName>
    <definedName name="_Úzký_Link" localSheetId="9">kombinace_2!$DE$5:$DE$7</definedName>
    <definedName name="_Úzký_Link" localSheetId="11">kombinace_3!$DE$5:$DE$7</definedName>
    <definedName name="_Úzký_Link" localSheetId="13">kombinace_4!$DE$5:$DE$7</definedName>
    <definedName name="_Úzký_Link" localSheetId="15">kombinace_5!$DE$5:$DE$7</definedName>
    <definedName name="_Úzký_Link" localSheetId="17">kombinace_6!$DE$5:$DE$7</definedName>
    <definedName name="_Úzký_Link" localSheetId="20">kombinace_posuv!$DE$5:$DE$7</definedName>
    <definedName name="_Úzký_Link">kombinace_1!$DE$5:$DE$7</definedName>
    <definedName name="_Úzký_Maxi" localSheetId="9">kombinace_2!$CO$5:$CO$12</definedName>
    <definedName name="_Úzký_Maxi" localSheetId="11">kombinace_3!$CO$5:$CO$12</definedName>
    <definedName name="_Úzký_Maxi" localSheetId="13">kombinace_4!$CO$5:$CO$12</definedName>
    <definedName name="_Úzký_Maxi" localSheetId="15">kombinace_5!$CO$5:$CO$12</definedName>
    <definedName name="_Úzký_Maxi" localSheetId="17">kombinace_6!$CO$5:$CO$12</definedName>
    <definedName name="_Úzký_Maxi" localSheetId="20">kombinace_posuv!$CO$5:$CO$12</definedName>
    <definedName name="_Úzký_Maxi">kombinace_1!$CO$5:$CO$10</definedName>
    <definedName name="_Úzký_Polohovací_vzpěra" localSheetId="9">kombinace_2!$DI$5:$DI$12</definedName>
    <definedName name="_Úzký_Polohovací_vzpěra" localSheetId="11">kombinace_3!$DI$5:$DI$12</definedName>
    <definedName name="_Úzký_Polohovací_vzpěra" localSheetId="13">kombinace_4!$DI$5:$DI$12</definedName>
    <definedName name="_Úzký_Polohovací_vzpěra" localSheetId="15">kombinace_5!$DI$5:$DI$12</definedName>
    <definedName name="_Úzký_Polohovací_vzpěra" localSheetId="17">kombinace_6!$DI$5:$DI$12</definedName>
    <definedName name="_Úzký_Polohovací_vzpěra" localSheetId="20">kombinace_posuv!$DI$5:$DI$12</definedName>
    <definedName name="_Úzký_Spodní_K12" localSheetId="9">kombinace_2!$CW$5:$CW$7</definedName>
    <definedName name="_Úzký_Spodní_K12" localSheetId="11">kombinace_3!$CW$5:$CW$7</definedName>
    <definedName name="_Úzký_Spodní_K12" localSheetId="13">kombinace_4!$CW$5:$CW$7</definedName>
    <definedName name="_Úzký_Spodní_K12" localSheetId="15">kombinace_5!$CW$5:$CW$7</definedName>
    <definedName name="_Úzký_Spodní_K12" localSheetId="17">kombinace_6!$CW$5:$CW$7</definedName>
    <definedName name="_Úzký_Spodní_K12" localSheetId="20">kombinace_posuv!$CW$5:$CW$7</definedName>
    <definedName name="_Úzký_Spodní_K12">kombinace_1!$CW$5:$CW$7</definedName>
    <definedName name="_Úzký_Spodní_Kraby" localSheetId="9">kombinace_2!$DA$5:$DA$7</definedName>
    <definedName name="_Úzký_Spodní_Kraby" localSheetId="11">kombinace_3!$DA$5:$DA$7</definedName>
    <definedName name="_Úzký_Spodní_Kraby" localSheetId="13">kombinace_4!$DA$5:$DA$7</definedName>
    <definedName name="_Úzký_Spodní_Kraby" localSheetId="15">kombinace_5!$DA$5:$DA$7</definedName>
    <definedName name="_Úzký_Spodní_Kraby" localSheetId="17">kombinace_6!$DA$5:$DA$7</definedName>
    <definedName name="_Úzký_Spodní_Kraby" localSheetId="20">kombinace_posuv!$DA$5:$DA$7</definedName>
    <definedName name="_Úzký_Spodní_Kraby">kombinace_1!$DA$5:$DA$7</definedName>
    <definedName name="_úzký_STRONGHINGESS3_naložený">'rozpad závěsů bez prázdn. řádků'!$G$21:$G$22</definedName>
    <definedName name="_úzký_STRONGHINGESS5_naložený">'rozpad závěsů bez prázdn. řádků'!$G$20:$I$20</definedName>
    <definedName name="_Úzký_Stronglift_alsó">kombinace_1!$DI$24:$DI$29</definedName>
    <definedName name="_Úzký_Stronglift_dolny">kombinace_1!$DI$16:$DI$21</definedName>
    <definedName name="_Úzký_Stronglift_felső">kombinace_1!$DG$24:$DG$29</definedName>
    <definedName name="_Úzký_Stronglift_gorny">kombinace_1!$DG$16:$DG$21</definedName>
    <definedName name="_Úzký_Stronglift_horní">kombinace_1!$DG$5:$DG$10</definedName>
    <definedName name="_Úzký_Stronglift_spodní">kombinace_1!$DI$5:$DI$10</definedName>
    <definedName name="_varna_panty_svisle">'Translate&amp;Prices&amp;Logo'!$M$568:$M$570</definedName>
    <definedName name="_vše_profily" localSheetId="20">kombinace_posuv!$A$3:$A$47</definedName>
    <definedName name="_vše_profily">kombinace_1!$A$3:$A$101</definedName>
    <definedName name="_vyklopy_blum" localSheetId="9">kombinace_2!$AB$4:$AB$9</definedName>
    <definedName name="_vyklopy_blum" localSheetId="11">kombinace_3!$AB$4:$AB$9</definedName>
    <definedName name="_vyklopy_blum" localSheetId="13">kombinace_4!$AB$4:$AB$9</definedName>
    <definedName name="_vyklopy_blum" localSheetId="15">kombinace_5!$AB$4:$AB$9</definedName>
    <definedName name="_vyklopy_blum" localSheetId="17">kombinace_6!$AB$4:$AB$9</definedName>
    <definedName name="_vyklopy_blum" localSheetId="20">kombinace_posuv!$AB$4:$AB$9</definedName>
    <definedName name="_vyklopy_blum">kombinace_1!$AB$4:$AB$13</definedName>
    <definedName name="_vyklopy_blum_kombo">kombinace_1!$AB$50:$AB$53</definedName>
    <definedName name="_vyklopy_hettich" localSheetId="9">kombinace_2!$AB$43:$AB$45</definedName>
    <definedName name="_vyklopy_hettich" localSheetId="11">kombinace_3!$AB$43:$AB$45</definedName>
    <definedName name="_vyklopy_hettich" localSheetId="13">kombinace_4!$AB$43:$AB$45</definedName>
    <definedName name="_vyklopy_hettich" localSheetId="15">kombinace_5!$AB$43:$AB$45</definedName>
    <definedName name="_vyklopy_hettich" localSheetId="17">kombinace_6!$AB$43:$AB$45</definedName>
    <definedName name="_vyklopy_hettich" localSheetId="20">kombinace_posuv!$AB$43:$AB$45</definedName>
    <definedName name="_vyklopy_hettich">kombinace_1!$AB$43:$AB$45</definedName>
    <definedName name="_vyklopy_italiana" localSheetId="9">kombinace_2!$AB$29:$AB$34</definedName>
    <definedName name="_vyklopy_italiana" localSheetId="11">kombinace_3!$AB$29:$AB$34</definedName>
    <definedName name="_vyklopy_italiana" localSheetId="13">kombinace_4!$AB$29:$AB$34</definedName>
    <definedName name="_vyklopy_italiana" localSheetId="15">kombinace_5!$AB$29:$AB$34</definedName>
    <definedName name="_vyklopy_italiana" localSheetId="17">kombinace_6!$AB$29:$AB$34</definedName>
    <definedName name="_vyklopy_italiana" localSheetId="20">kombinace_posuv!$AB$29:$AB$34</definedName>
    <definedName name="_vyklopy_italiana">kombinace_1!$AB$29:$AB$34</definedName>
    <definedName name="_vyklopy_kesse" localSheetId="9">kombinace_2!$AB$15:$AB$23</definedName>
    <definedName name="_vyklopy_kesse" localSheetId="11">kombinace_3!$AB$15:$AB$23</definedName>
    <definedName name="_vyklopy_kesse" localSheetId="13">kombinace_4!$AB$15:$AB$23</definedName>
    <definedName name="_vyklopy_kesse" localSheetId="15">kombinace_5!$AB$15:$AB$23</definedName>
    <definedName name="_vyklopy_kesse" localSheetId="17">kombinace_6!$AB$15:$AB$23</definedName>
    <definedName name="_vyklopy_kesse" localSheetId="20">kombinace_posuv!$AB$15:$AB$23</definedName>
    <definedName name="_vyklopy_kesse">kombinace_1!$AB$15:$AB$23</definedName>
    <definedName name="_vyklopy_kesse_kombo">kombinace_1!$AB$60:$AB$63</definedName>
    <definedName name="_vyklopy_strong" localSheetId="9">kombinace_2!$AB$40:$AB$41</definedName>
    <definedName name="_vyklopy_strong" localSheetId="11">kombinace_3!$AB$40:$AB$41</definedName>
    <definedName name="_vyklopy_strong" localSheetId="13">kombinace_4!$AB$40:$AB$41</definedName>
    <definedName name="_vyklopy_strong" localSheetId="15">kombinace_5!$AB$40:$AB$41</definedName>
    <definedName name="_vyklopy_strong" localSheetId="17">kombinace_6!$AB$40:$AB$41</definedName>
    <definedName name="_vyklopy_strong" localSheetId="20">kombinace_posuv!$AB$40:$AB$41</definedName>
    <definedName name="_vyklopy_stronglift">kombinace_1!$AB$40:$AB$41</definedName>
    <definedName name="_zavesy_blum" localSheetId="9">kombinace_2!$AZ$10:$AZ$14</definedName>
    <definedName name="_zavesy_blum" localSheetId="11">kombinace_3!$AZ$10:$AZ$14</definedName>
    <definedName name="_zavesy_blum" localSheetId="13">kombinace_4!$AZ$10:$AZ$14</definedName>
    <definedName name="_zavesy_blum" localSheetId="15">kombinace_5!$AZ$10:$AZ$14</definedName>
    <definedName name="_zavesy_blum" localSheetId="17">kombinace_6!$AZ$10:$AZ$14</definedName>
    <definedName name="_zavesy_blum" localSheetId="20">kombinace_posuv!$AZ$10:$AZ$14</definedName>
    <definedName name="_zavesy_blum">kombinace_1!$AZ$10:$AZ$14</definedName>
    <definedName name="_zavesy_hettich" localSheetId="9">kombinace_2!$AZ$4:$AZ$8</definedName>
    <definedName name="_zavesy_hettich" localSheetId="11">kombinace_3!$AZ$4:$AZ$8</definedName>
    <definedName name="_zavesy_hettich" localSheetId="13">kombinace_4!$AZ$4:$AZ$8</definedName>
    <definedName name="_zavesy_hettich" localSheetId="15">kombinace_5!$AZ$4:$AZ$8</definedName>
    <definedName name="_zavesy_hettich" localSheetId="17">kombinace_6!$AZ$4:$AZ$8</definedName>
    <definedName name="_zavesy_hettich" localSheetId="20">kombinace_posuv!$AZ$4:$AZ$8</definedName>
    <definedName name="_zavesy_hettich">kombinace_1!$AZ$4:$AZ$8</definedName>
    <definedName name="_zavesy_kombo">kombinace_1!$BY$32:$BY$33</definedName>
    <definedName name="_zavesy_strong" localSheetId="9">kombinace_2!$AZ$16:$AZ$20</definedName>
    <definedName name="_zavesy_strong" localSheetId="11">kombinace_3!$AZ$16:$AZ$20</definedName>
    <definedName name="_zavesy_strong" localSheetId="13">kombinace_4!$AZ$16:$AZ$20</definedName>
    <definedName name="_zavesy_strong" localSheetId="15">kombinace_5!$AZ$16:$AZ$20</definedName>
    <definedName name="_zavesy_strong" localSheetId="17">kombinace_6!$AZ$16:$AZ$20</definedName>
    <definedName name="_zavesy_strong" localSheetId="20">kombinace_posuv!$AZ$16:$AZ$20</definedName>
    <definedName name="_zavesy_stronghingesS5">kombinace_1!$AZ$16:$AZ$20</definedName>
    <definedName name="_znacka_vyklopy" localSheetId="9">kombinace_2!$BR$3:$BR$6</definedName>
    <definedName name="_znacka_vyklopy" localSheetId="11">kombinace_3!$BR$3:$BR$6</definedName>
    <definedName name="_znacka_vyklopy" localSheetId="13">kombinace_4!$BR$3:$BR$6</definedName>
    <definedName name="_znacka_vyklopy" localSheetId="15">kombinace_5!$BR$3:$BR$6</definedName>
    <definedName name="_znacka_vyklopy" localSheetId="17">kombinace_6!$BR$3:$BR$6</definedName>
    <definedName name="_znacka_vyklopy" localSheetId="20">kombinace_posuv!$BR$3:$BR$6</definedName>
    <definedName name="_znacka_vyklopy">kombinace_1!$BR$3:$BR$7</definedName>
    <definedName name="_znacka_zavesy" localSheetId="9">kombinace_2!$BQ$3:$BQ$5</definedName>
    <definedName name="_znacka_zavesy" localSheetId="11">kombinace_3!$BQ$3:$BQ$5</definedName>
    <definedName name="_znacka_zavesy" localSheetId="13">kombinace_4!$BQ$3:$BQ$5</definedName>
    <definedName name="_znacka_zavesy" localSheetId="15">kombinace_5!$BQ$3:$BQ$5</definedName>
    <definedName name="_znacka_zavesy" localSheetId="17">kombinace_6!$BQ$3:$BQ$5</definedName>
    <definedName name="_znacka_zavesy" localSheetId="20">kombinace_posuv!$BQ$3:$BQ$5</definedName>
    <definedName name="_znacka_zavesy">kombinace_1!$BQ$3:$BQ$7</definedName>
    <definedName name="_znacka_zavesy_proROMA">kombinace_1!$BQ$11:$BQ$15</definedName>
    <definedName name="AV_HF" localSheetId="29">#REF!</definedName>
    <definedName name="AV_HF" localSheetId="0">#REF!</definedName>
    <definedName name="AV_HF">'Běžné rámečky'!$J$350</definedName>
    <definedName name="AV_HF_SD" localSheetId="29">#REF!</definedName>
    <definedName name="AV_HF_SD" localSheetId="0">#REF!</definedName>
    <definedName name="AV_HF_SD">'Běžné rámečky'!$J$351</definedName>
    <definedName name="AV_HK" localSheetId="29">#REF!</definedName>
    <definedName name="AV_HK" localSheetId="0">#REF!</definedName>
    <definedName name="AV_HK">'Běžné rámečky'!$J$357</definedName>
    <definedName name="AV_HK_SD" localSheetId="29">#REF!</definedName>
    <definedName name="AV_HK_SD" localSheetId="0">#REF!</definedName>
    <definedName name="AV_HK_SD">'Běžné rámečky'!$J$372</definedName>
    <definedName name="AV_HK_TIP" localSheetId="29">#REF!</definedName>
    <definedName name="AV_HK_TIP" localSheetId="0">#REF!</definedName>
    <definedName name="AV_HK_TIP">'Běžné rámečky'!$J$392</definedName>
    <definedName name="AV_HKS" localSheetId="29">#REF!</definedName>
    <definedName name="AV_HKS" localSheetId="0">#REF!</definedName>
    <definedName name="AV_HKS">'Běžné rámečky'!$J$358</definedName>
    <definedName name="AV_HKS_TIP" localSheetId="29">#REF!</definedName>
    <definedName name="AV_HKS_TIP" localSheetId="0">#REF!</definedName>
    <definedName name="AV_HKS_TIP">'Běžné rámečky'!$J$394</definedName>
    <definedName name="AV_HKXS" localSheetId="29">#REF!</definedName>
    <definedName name="AV_HKXS" localSheetId="0">#REF!</definedName>
    <definedName name="AV_HKXS">'Běžné rámečky'!$J$361</definedName>
    <definedName name="AV_HKXS_TIP" localSheetId="29">#REF!</definedName>
    <definedName name="AV_HKXS_TIP" localSheetId="0">#REF!</definedName>
    <definedName name="AV_HKXS_TIP">'Běžné rámečky'!$J$391</definedName>
    <definedName name="AV_HL" localSheetId="29">#REF!</definedName>
    <definedName name="AV_HL" localSheetId="0">#REF!</definedName>
    <definedName name="AV_HL">'Běžné rámečky'!$J$359</definedName>
    <definedName name="AV_HL_SD" localSheetId="29">#REF!</definedName>
    <definedName name="AV_HL_SD" localSheetId="0">#REF!</definedName>
    <definedName name="AV_HL_SD">'Běžné rámečky'!$J$381</definedName>
    <definedName name="AV_HS" localSheetId="29">#REF!</definedName>
    <definedName name="AV_HS" localSheetId="0">#REF!</definedName>
    <definedName name="AV_HS">'Běžné rámečky'!$J$360</definedName>
    <definedName name="AV_HS_SD" localSheetId="29">#REF!</definedName>
    <definedName name="AV_HS_SD" localSheetId="0">#REF!</definedName>
    <definedName name="AV_HS_SD">'Běžné rámečky'!$J$393</definedName>
    <definedName name="AV_OST" localSheetId="29">#REF!</definedName>
    <definedName name="AV_OST" localSheetId="0">#REF!</definedName>
    <definedName name="AV_OST">'Běžné rámečky'!$J$352</definedName>
    <definedName name="BLUM" localSheetId="29">#REF!</definedName>
    <definedName name="BLUM" localSheetId="0">#REF!</definedName>
    <definedName name="BLUM">'Běžné rámečky'!$J$363</definedName>
    <definedName name="BLUM_WIDE">'Běžné rámečky'!$B$570:$B$581</definedName>
    <definedName name="DOL_DV" localSheetId="29">#REF!</definedName>
    <definedName name="DOL_DV" localSheetId="0">#REF!</definedName>
    <definedName name="DOL_DV">'Běžné rámečky'!$J$356</definedName>
    <definedName name="DOLE" localSheetId="29">#REF!</definedName>
    <definedName name="DOLE" localSheetId="0">#REF!</definedName>
    <definedName name="DOLE">'Běžné rámečky'!$J$396</definedName>
    <definedName name="DP">kombinace_1!$BQ$7</definedName>
    <definedName name="DTDL_18" localSheetId="29">#REF!</definedName>
    <definedName name="DTDL_18" localSheetId="0">#REF!</definedName>
    <definedName name="DTDL_18">'Běžné rámečky'!$J$390</definedName>
    <definedName name="dw">kombinace_1!$F$3</definedName>
    <definedName name="HETTICH" localSheetId="29">#REF!</definedName>
    <definedName name="HETTICH" localSheetId="0">#REF!</definedName>
    <definedName name="HETTICH">'Běžné rámečky'!$J$366</definedName>
    <definedName name="HF_POZICE_2_DVIRKA">#REF!</definedName>
    <definedName name="HF_TYP_2_CILKA" localSheetId="29">#REF!</definedName>
    <definedName name="HF_TYP_2_CILKA" localSheetId="0">#REF!</definedName>
    <definedName name="HF_TYP_2_CILKA">#REF!</definedName>
    <definedName name="HM_UCH" localSheetId="29">#REF!</definedName>
    <definedName name="HM_UCH" localSheetId="0">#REF!</definedName>
    <definedName name="HM_UCH">'Běžné rámečky'!$J$373</definedName>
    <definedName name="HOR_DV" localSheetId="29">#REF!</definedName>
    <definedName name="HOR_DV" localSheetId="0">#REF!</definedName>
    <definedName name="HOR_DV">'Běžné rámečky'!$J$355</definedName>
    <definedName name="MAX_ROZ_RAM" localSheetId="29">Ceny_n!$B$292</definedName>
    <definedName name="MAX_ROZ_RAM" localSheetId="0">#REF!</definedName>
    <definedName name="MAX_ROZ_RAM">Ceny!$B$292</definedName>
    <definedName name="MDF_16" localSheetId="29">#REF!</definedName>
    <definedName name="MDF_16" localSheetId="0">#REF!</definedName>
    <definedName name="MDF_16">'Běžné rámečky'!$J$388</definedName>
    <definedName name="MDF_18" localSheetId="29">#REF!</definedName>
    <definedName name="MDF_18" localSheetId="0">#REF!</definedName>
    <definedName name="MDF_18">'Běžné rámečky'!$J$389</definedName>
    <definedName name="MIN_POZ_ZAVES" localSheetId="29">Ceny_n!$B$293</definedName>
    <definedName name="MIN_POZ_ZAVES" localSheetId="0">#REF!</definedName>
    <definedName name="MIN_POZ_ZAVES">Ceny!$B$293</definedName>
    <definedName name="MIN_POZ_ZAVES_80" localSheetId="29">Ceny_n!$B$294</definedName>
    <definedName name="MIN_POZ_ZAVES_80" localSheetId="0">#REF!</definedName>
    <definedName name="MIN_POZ_ZAVES_80">Ceny!$B$294</definedName>
    <definedName name="MIN_ROZ_RAM" localSheetId="29">Ceny_n!$B$472</definedName>
    <definedName name="MIN_ROZ_RAM" localSheetId="0">#REF!</definedName>
    <definedName name="MIN_ROZ_RAM">Ceny!$B$472</definedName>
    <definedName name="NAHORE" localSheetId="29">#REF!</definedName>
    <definedName name="NAHORE" localSheetId="0">#REF!</definedName>
    <definedName name="NAHORE">'Běžné rámečky'!$J$395</definedName>
    <definedName name="OBE_STRANY" localSheetId="29">#REF!</definedName>
    <definedName name="OBE_STRANY" localSheetId="0">#REF!</definedName>
    <definedName name="OBE_STRANY">'Běžné rámečky'!$J$371</definedName>
    <definedName name="_xlnm.Print_Area" localSheetId="21">_souhrn!$A$1:$AP$172</definedName>
    <definedName name="_xlnm.Print_Area" localSheetId="24">'_souhrn (2)'!$A$4:$AR$224</definedName>
    <definedName name="_xlnm.Print_Area" localSheetId="5">Ram_1!$A$1:$AS$33</definedName>
    <definedName name="_xlnm.Print_Area" localSheetId="8">Ram_2!$A$1:$AS$33</definedName>
    <definedName name="_xlnm.Print_Area" localSheetId="10">Ram_3!$A$1:$AS$33</definedName>
    <definedName name="_xlnm.Print_Area" localSheetId="12">Ram_4!$A$1:$AS$33</definedName>
    <definedName name="_xlnm.Print_Area" localSheetId="14">Ram_5!$A$1:$AS$33</definedName>
    <definedName name="_xlnm.Print_Area" localSheetId="16">Ram_6!$A$1:$AS$33</definedName>
    <definedName name="PANT_BLUM_SLIM" localSheetId="29">#REF!</definedName>
    <definedName name="PANT_BLUM_SLIM" localSheetId="0">#REF!</definedName>
    <definedName name="PANT_BLUM_SLIM">#REF!</definedName>
    <definedName name="PANT_BLUM_WIDE" localSheetId="29">#REF!</definedName>
    <definedName name="PANT_BLUM_WIDE" localSheetId="0">#REF!</definedName>
    <definedName name="PANT_BLUM_WIDE">#REF!</definedName>
    <definedName name="PANT_HETTICH_SLIM" localSheetId="29">#REF!</definedName>
    <definedName name="PANT_HETTICH_SLIM" localSheetId="0">#REF!</definedName>
    <definedName name="PANT_HETTICH_SLIM">#REF!</definedName>
    <definedName name="PANT_HETTICH_WIDE" localSheetId="29">#REF!</definedName>
    <definedName name="PANT_HETTICH_WIDE" localSheetId="0">#REF!</definedName>
    <definedName name="PANT_HETTICH_WIDE">#REF!</definedName>
    <definedName name="PANT_STRONG_SLIM_BTL" localSheetId="29">#REF!</definedName>
    <definedName name="PANT_STRONG_SLIM_BTL" localSheetId="0">#REF!</definedName>
    <definedName name="PANT_STRONG_SLIM_BTL">#REF!</definedName>
    <definedName name="PANT_STRONG_SLIM_STL" localSheetId="29">#REF!</definedName>
    <definedName name="PANT_STRONG_SLIM_STL" localSheetId="0">#REF!</definedName>
    <definedName name="PANT_STRONG_SLIM_STL">#REF!</definedName>
    <definedName name="PANT_STRONG_WIDE_BTL" localSheetId="29">#REF!</definedName>
    <definedName name="PANT_STRONG_WIDE_BTL" localSheetId="0">#REF!</definedName>
    <definedName name="PANT_STRONG_WIDE_BTL">#REF!</definedName>
    <definedName name="PANT_STRONG_WIDE_STL" localSheetId="29">#REF!</definedName>
    <definedName name="PANT_STRONG_WIDE_STL" localSheetId="0">#REF!</definedName>
    <definedName name="PANT_STRONG_WIDE_STL">#REF!</definedName>
    <definedName name="PANTY_TAB1">'Běžné rámečky'!$AO$27:$AO$52</definedName>
    <definedName name="POC_ZAVES" localSheetId="29">#REF!</definedName>
    <definedName name="POC_ZAVES" localSheetId="0">#REF!</definedName>
    <definedName name="POC_ZAVES">'Běžné rámečky'!$J$382</definedName>
    <definedName name="POZ_RAM" localSheetId="29">#REF!</definedName>
    <definedName name="POZ_RAM" localSheetId="0">#REF!</definedName>
    <definedName name="POZ_RAM">'Běžné rámečky'!$J$385</definedName>
    <definedName name="POZICE_RAMENE" localSheetId="29">#REF!</definedName>
    <definedName name="POZICE_RAMENE" localSheetId="0">#REF!</definedName>
    <definedName name="POZICE_RAMENE">'Běžné rámečky'!$J$386</definedName>
    <definedName name="PRAZDNE_1" localSheetId="29">#REF!</definedName>
    <definedName name="PRAZDNE_1" localSheetId="0">#REF!</definedName>
    <definedName name="PRAZDNE_1">'Běžné rámečky'!$J$362</definedName>
    <definedName name="PROFILY_ALL" localSheetId="29">#REF!</definedName>
    <definedName name="PROFILY_ALL" localSheetId="0">#REF!</definedName>
    <definedName name="PROFILY_ALL">#REF!</definedName>
    <definedName name="PROV_2_CILKA" localSheetId="29">#REF!</definedName>
    <definedName name="PROV_2_CILKA" localSheetId="0">#REF!</definedName>
    <definedName name="PROV_2_CILKA">'Běžné rámečky'!$J$376</definedName>
    <definedName name="RADEK_1_5" localSheetId="29">OFFSET(#REF!,0,0,COUNT(#REF!:#REF!),1)</definedName>
    <definedName name="RADEK_1_5" localSheetId="0">OFFSET(#REF!,0,0,COUNT(#REF!:#REF!),1)</definedName>
    <definedName name="RADEK_1_5">OFFSET('Běžné rámečky'!$AJ$26,0,0,COUNT('Běžné rámečky'!$AK$26:'Běžné rámečky'!$AK$36),1)</definedName>
    <definedName name="RADEK_1_6" localSheetId="29">OFFSET(#REF!,0,0,COUNT(#REF!:#REF!),1)</definedName>
    <definedName name="RADEK_1_6" localSheetId="0">OFFSET(#REF!,0,0,COUNT(#REF!:#REF!),1)</definedName>
    <definedName name="RADEK_1_6">OFFSET('Běžné rámečky'!$AP$27,0,0,COUNT('Běžné rámečky'!$AQ$27:'Běžné rámečky'!$AQ$52),1)</definedName>
    <definedName name="RADEK_2_5" localSheetId="29">OFFSET(#REF!,0,0,COUNT(#REF!:#REF!),1)</definedName>
    <definedName name="RADEK_2_5" localSheetId="0">OFFSET(#REF!,0,0,COUNT(#REF!:#REF!),1)</definedName>
    <definedName name="RADEK_2_5">OFFSET('Běžné rámečky'!$AJ$80,0,0,COUNT('Běžné rámečky'!$AK$80:'Běžné rámečky'!$AK$90),1)</definedName>
    <definedName name="RADEK_2_6" localSheetId="29">OFFSET(#REF!,0,0,COUNT(#REF!:#REF!),1)</definedName>
    <definedName name="RADEK_2_6" localSheetId="0">OFFSET(#REF!,0,0,COUNT(#REF!:#REF!),1)</definedName>
    <definedName name="RADEK_2_6">OFFSET('Běžné rámečky'!$AP$81,0,0,COUNT('Běžné rámečky'!$AQ$81:'Běžné rámečky'!$AQ$106),1)</definedName>
    <definedName name="RADEK_3_5" localSheetId="29">OFFSET(#REF!,0,0,COUNT(#REF!:#REF!),1)</definedName>
    <definedName name="RADEK_3_5" localSheetId="0">OFFSET(#REF!,0,0,COUNT(#REF!:#REF!),1)</definedName>
    <definedName name="RADEK_3_5">OFFSET('Běžné rámečky'!$AJ$134,0,0,COUNT('Běžné rámečky'!$AK$134:'Běžné rámečky'!$AK$144),1)</definedName>
    <definedName name="RADEK_3_6" localSheetId="29">OFFSET(#REF!,0,0,COUNT(#REF!:#REF!),1)</definedName>
    <definedName name="RADEK_3_6" localSheetId="0">OFFSET(#REF!,0,0,COUNT(#REF!:#REF!),1)</definedName>
    <definedName name="RADEK_3_6">OFFSET('Běžné rámečky'!$AP$135,0,0,COUNT('Běžné rámečky'!$AQ$135:'Běžné rámečky'!$AQ$160),1)</definedName>
    <definedName name="RADEK_4_5" localSheetId="29">OFFSET(#REF!,0,0,COUNT(#REF!:#REF!),1)</definedName>
    <definedName name="RADEK_4_5" localSheetId="0">OFFSET(#REF!,0,0,COUNT(#REF!:#REF!),1)</definedName>
    <definedName name="RADEK_4_5">OFFSET('Běžné rámečky'!$AJ$188,0,0,COUNT('Běžné rámečky'!$AK$188:'Běžné rámečky'!$AK$198),1)</definedName>
    <definedName name="RADEK_4_6" localSheetId="29">OFFSET(#REF!,0,0,COUNT(#REF!:#REF!),1)</definedName>
    <definedName name="RADEK_4_6" localSheetId="0">OFFSET(#REF!,0,0,COUNT(#REF!:#REF!),1)</definedName>
    <definedName name="RADEK_4_6">OFFSET('Běžné rámečky'!$AP$189,0,0,COUNT('Běžné rámečky'!$AQ$189:'Běžné rámečky'!$AQ$214),1)</definedName>
    <definedName name="RADEK_5_5" localSheetId="29">OFFSET(#REF!,0,0,COUNT(#REF!:#REF!),1)</definedName>
    <definedName name="RADEK_5_5" localSheetId="0">OFFSET(#REF!,0,0,COUNT(#REF!:#REF!),1)</definedName>
    <definedName name="RADEK_5_5">OFFSET('Běžné rámečky'!$AJ$242,0,0,COUNT('Běžné rámečky'!$AK$242:'Běžné rámečky'!$AK$252),1)</definedName>
    <definedName name="RADEK_5_6" localSheetId="29">OFFSET(#REF!,0,0,COUNT(#REF!:#REF!),1)</definedName>
    <definedName name="RADEK_5_6" localSheetId="0">OFFSET(#REF!,0,0,COUNT(#REF!:#REF!),1)</definedName>
    <definedName name="RADEK_5_6">OFFSET('Běžné rámečky'!$AP$243,0,0,COUNT('Běžné rámečky'!$AQ$243:'Běžné rámečky'!$AQ$268),1)</definedName>
    <definedName name="RADEK_6_5" localSheetId="29">OFFSET(#REF!,0,0,COUNT(#REF!:#REF!),1)</definedName>
    <definedName name="RADEK_6_5" localSheetId="0">OFFSET(#REF!,0,0,COUNT(#REF!:#REF!),1)</definedName>
    <definedName name="RADEK_6_5">OFFSET('Běžné rámečky'!$AJ$296,0,0,COUNT('Běžné rámečky'!$AK$296:'Běžné rámečky'!$AK$306),1)</definedName>
    <definedName name="RADEK_6_6" localSheetId="29">OFFSET(#REF!,0,0,COUNT(#REF!:#REF!),1)</definedName>
    <definedName name="RADEK_6_6" localSheetId="0">OFFSET(#REF!,0,0,COUNT(#REF!:#REF!),1)</definedName>
    <definedName name="RADEK_6_6">OFFSET('Běžné rámečky'!$AP$297,0,0,COUNT('Běžné rámečky'!$AQ$297:'Běžné rámečky'!$AQ$322),1)</definedName>
    <definedName name="SIR_RAM" localSheetId="29">#REF!</definedName>
    <definedName name="SIR_RAM" localSheetId="0">#REF!</definedName>
    <definedName name="SIR_RAM">'Běžné rámečky'!$J$387</definedName>
    <definedName name="síťka_pro_bílýprofil">kombinace_1!$FG$3</definedName>
    <definedName name="síťka_pro_černýprofil">kombinace_1!$FF$3:$FF$4</definedName>
    <definedName name="síťka_pro_eloxprofil">kombinace_1!$FH$3</definedName>
    <definedName name="síťka_pro_zlatýprofil">kombinace_1!$FE$3</definedName>
    <definedName name="SKLO_ALL" localSheetId="29">#REF!</definedName>
    <definedName name="SKLO_ALL" localSheetId="0">#REF!</definedName>
    <definedName name="SKLO_ALL">#REF!</definedName>
    <definedName name="SKLO_FOR_STICK" localSheetId="29">#REF!</definedName>
    <definedName name="SKLO_FOR_STICK" localSheetId="0">#REF!</definedName>
    <definedName name="SKLO_FOR_STICK">#REF!</definedName>
    <definedName name="SKLO_VYBER_T1" localSheetId="29">OFFSET(#REF!,0,0,COUNT(#REF!),1)</definedName>
    <definedName name="SKLO_VYBER_T1" localSheetId="0">OFFSET(#REF!,0,0,COUNT(#REF!),1)</definedName>
    <definedName name="SKLO_VYBER_T1">OFFSET(#REF!,0,0,COUNT(#REF!),1)</definedName>
    <definedName name="SKLO_VYBER_T2" localSheetId="29">OFFSET(#REF!,0,0,COUNT(#REF!),1)</definedName>
    <definedName name="SKLO_VYBER_T2" localSheetId="0">OFFSET(#REF!,0,0,COUNT(#REF!),1)</definedName>
    <definedName name="SKLO_VYBER_T2">OFFSET(#REF!,0,0,COUNT(#REF!),1)</definedName>
    <definedName name="SKLO_VYBER_T3" localSheetId="29">OFFSET(#REF!,0,0,COUNT(#REF!),1)</definedName>
    <definedName name="SKLO_VYBER_T3" localSheetId="0">OFFSET(#REF!,0,0,COUNT(#REF!),1)</definedName>
    <definedName name="SKLO_VYBER_T3">OFFSET(#REF!,0,0,COUNT(#REF!),1)</definedName>
    <definedName name="SKLO_VYBER_T4" localSheetId="29">OFFSET(#REF!,0,0,COUNT(#REF!),1)</definedName>
    <definedName name="SKLO_VYBER_T4" localSheetId="0">OFFSET(#REF!,0,0,COUNT(#REF!),1)</definedName>
    <definedName name="SKLO_VYBER_T4">OFFSET(#REF!,0,0,COUNT(#REF!),1)</definedName>
    <definedName name="SKLO_VYBER_T5" localSheetId="29">OFFSET(#REF!,0,0,COUNT(#REF!),1)</definedName>
    <definedName name="SKLO_VYBER_T5" localSheetId="0">OFFSET(#REF!,0,0,COUNT(#REF!),1)</definedName>
    <definedName name="SKLO_VYBER_T5">OFFSET(#REF!,0,0,COUNT(#REF!),1)</definedName>
    <definedName name="SKLO_VYBER_T6" localSheetId="29">OFFSET(#REF!,0,0,COUNT(#REF!),1)</definedName>
    <definedName name="SKLO_VYBER_T6" localSheetId="0">OFFSET(#REF!,0,0,COUNT(#REF!),1)</definedName>
    <definedName name="SKLO_VYBER_T6">OFFSET(#REF!,0,0,COUNT(#REF!),1)</definedName>
    <definedName name="STRONG_BINT_TL" localSheetId="29">#REF!</definedName>
    <definedName name="STRONG_BINT_TL" localSheetId="0">#REF!</definedName>
    <definedName name="STRONG_BINT_TL">'Běžné rámečky'!$J$365</definedName>
    <definedName name="STRONG_INT_TL" localSheetId="29">#REF!</definedName>
    <definedName name="STRONG_INT_TL" localSheetId="0">#REF!</definedName>
    <definedName name="STRONG_INT_TL">'Běžné rámečky'!$J$364</definedName>
    <definedName name="STRONG_Plus" localSheetId="29">#REF!</definedName>
    <definedName name="STRONG_Plus" localSheetId="0">#REF!</definedName>
    <definedName name="STRONGHINGES">'Běžné rámečky'!$J$367</definedName>
    <definedName name="T1_PANT_BLUM" localSheetId="29">#REF!</definedName>
    <definedName name="T1_PANT_BLUM" localSheetId="0">#REF!</definedName>
    <definedName name="T1_PANT_BLUM">'Běžné rámečky'!$BC$25:$BC$42</definedName>
    <definedName name="T1_PANT_HETTICH" localSheetId="29">#REF!</definedName>
    <definedName name="T1_PANT_HETTICH" localSheetId="0">#REF!</definedName>
    <definedName name="T1_PANT_HETTICH">'Běžné rámečky'!$BB$25:$BB$42</definedName>
    <definedName name="T1_PANT_STRONG_BTL" localSheetId="29">#REF!</definedName>
    <definedName name="T1_PANT_STRONG_BTL" localSheetId="0">#REF!</definedName>
    <definedName name="T1_PANT_STRONG_BTL">'Běžné rámečky'!$BF$25:$BF$41</definedName>
    <definedName name="T1_PANT_STRONG_PLUS">'Běžné rámečky'!$BH$25:$BH$41</definedName>
    <definedName name="T1_PANT_STRONG_STL" localSheetId="29">#REF!</definedName>
    <definedName name="T1_PANT_STRONG_STL" localSheetId="0">#REF!</definedName>
    <definedName name="T1_PANT_STRONG_STL">'Běžné rámečky'!$BG$25:$BG$41</definedName>
    <definedName name="T1_PODLOZKA_TYPY" localSheetId="29">OFFSET(#REF!,0,0,COUNT(#REF!),1)</definedName>
    <definedName name="T1_PODLOZKA_TYPY" localSheetId="0">OFFSET(#REF!,0,0,COUNT(#REF!),1)</definedName>
    <definedName name="T1_PODLOZKA_TYPY">OFFSET('Běžné rámečky'!$AS$27,0,0,COUNT('Běžné rámečky'!$AT$27:$AT$36),1)</definedName>
    <definedName name="T1_VYKLOPY" localSheetId="29">OFFSET(#REF!,0,0,COUNT(#REF!),1)</definedName>
    <definedName name="T1_VYKLOPY" localSheetId="0">OFFSET(#REF!,0,0,COUNT(#REF!),1)</definedName>
    <definedName name="T1_VYKLOPY">OFFSET('Běžné rámečky'!$BD$25,0,0,COUNT('Běžné rámečky'!$BE$25:$BE$65),1)</definedName>
    <definedName name="T2_PANT_BLUM">'Běžné rámečky'!$BC$79:$BC$96</definedName>
    <definedName name="T2_PANT_HETTICH">'Běžné rámečky'!$BB$79:$BB$96</definedName>
    <definedName name="T2_PANT_STRONG_BTL">'Běžné rámečky'!$BF$79:$BF$95</definedName>
    <definedName name="T2_PANT_STRONG_STL">'Běžné rámečky'!$BG$79:$BG$95</definedName>
    <definedName name="T2_PODLOZKA_TYPY" localSheetId="29">OFFSET(#REF!,0,0,COUNT(#REF!),1)</definedName>
    <definedName name="T2_PODLOZKA_TYPY" localSheetId="0">OFFSET(#REF!,0,0,COUNT(#REF!),1)</definedName>
    <definedName name="T2_PODLOZKA_TYPY">OFFSET('Běžné rámečky'!$AS$81,0,0,COUNT('Běžné rámečky'!$AT$81:$AT$90),1)</definedName>
    <definedName name="T2_VYKLOPY" localSheetId="29">OFFSET(#REF!,0,0,COUNT(#REF!),1)</definedName>
    <definedName name="T2_VYKLOPY" localSheetId="0">OFFSET(#REF!,0,0,COUNT(#REF!),1)</definedName>
    <definedName name="T2_VYKLOPY">OFFSET('Běžné rámečky'!$BD$79,0,0,COUNT('Běžné rámečky'!$BE$79:$BE$119),1)</definedName>
    <definedName name="T3_PANT_BLUM">'Běžné rámečky'!$BC$133:$BC$150</definedName>
    <definedName name="T3_PANT_HETTICH">'Běžné rámečky'!$BB$133:$BB$150</definedName>
    <definedName name="T3_PANT_STRONG_BTL">'Běžné rámečky'!$BF$133:$BF$149</definedName>
    <definedName name="T3_PANT_STRONG_STL">'Běžné rámečky'!$BG$133:$BG$149</definedName>
    <definedName name="T3_PODLOZKA_TYPY" localSheetId="29">OFFSET(#REF!,0,0,COUNT(#REF!),1)</definedName>
    <definedName name="T3_PODLOZKA_TYPY" localSheetId="0">OFFSET(#REF!,0,0,COUNT(#REF!),1)</definedName>
    <definedName name="T3_PODLOZKA_TYPY">OFFSET('Běžné rámečky'!$AS$135,0,0,COUNT('Běžné rámečky'!$AT$135:$AT$144),1)</definedName>
    <definedName name="T3_VYKLOPY" localSheetId="29">OFFSET(#REF!,0,0,COUNT(#REF!),1)</definedName>
    <definedName name="T3_VYKLOPY" localSheetId="0">OFFSET(#REF!,0,0,COUNT(#REF!),1)</definedName>
    <definedName name="T3_VYKLOPY">OFFSET('Běžné rámečky'!$BD$133,0,0,COUNT('Běžné rámečky'!$BE$133:$BE$173),1)</definedName>
    <definedName name="T4_PANT_BLUM">'Běžné rámečky'!$BC$187:$BC$204</definedName>
    <definedName name="T4_PANT_HETTICH">'Běžné rámečky'!$BB$187:$BB$204</definedName>
    <definedName name="T4_PANT_STRONG_BTL">'Běžné rámečky'!$BF$187:$BF$203</definedName>
    <definedName name="T4_PANT_STRONG_STL">'Běžné rámečky'!$BG$187:$BG$203</definedName>
    <definedName name="T4_PODLOZKA_TYPY" localSheetId="29">OFFSET(#REF!,0,0,COUNT(#REF!),1)</definedName>
    <definedName name="T4_PODLOZKA_TYPY" localSheetId="0">OFFSET(#REF!,0,0,COUNT(#REF!),1)</definedName>
    <definedName name="T4_PODLOZKA_TYPY">OFFSET('Běžné rámečky'!$AS$189,0,0,COUNT('Běžné rámečky'!$AT$189:$AT$198),1)</definedName>
    <definedName name="T4_VYKLOPY" localSheetId="29">OFFSET(#REF!,0,0,COUNT(#REF!),1)</definedName>
    <definedName name="T4_VYKLOPY" localSheetId="0">OFFSET(#REF!,0,0,COUNT(#REF!),1)</definedName>
    <definedName name="T4_VYKLOPY">OFFSET('Běžné rámečky'!$BD$187,0,0,COUNT('Běžné rámečky'!$BE$187:$BE$227),1)</definedName>
    <definedName name="T5_PANT_BLUM">'Běžné rámečky'!$BC$241:$BC$258</definedName>
    <definedName name="T5_PANT_HETTICH">'Běžné rámečky'!$BB$241:$BB$258</definedName>
    <definedName name="T5_PANT_STRONG_BTL">'Běžné rámečky'!$BF$241:$BF$257</definedName>
    <definedName name="T5_PANT_STRONG_STL">'Běžné rámečky'!$BG$241:$BG$257</definedName>
    <definedName name="T5_PODLOZKA_TYPY" localSheetId="29">OFFSET(#REF!,0,0,COUNT(#REF!),1)</definedName>
    <definedName name="T5_PODLOZKA_TYPY" localSheetId="0">OFFSET(#REF!,0,0,COUNT(#REF!),1)</definedName>
    <definedName name="T5_PODLOZKA_TYPY">OFFSET('Běžné rámečky'!$AS$243,0,0,COUNT('Běžné rámečky'!$AT$243:$AT$252),1)</definedName>
    <definedName name="T5_VYKLOPY" localSheetId="29">OFFSET(#REF!,0,0,COUNT(#REF!),1)</definedName>
    <definedName name="T5_VYKLOPY" localSheetId="0">OFFSET(#REF!,0,0,COUNT(#REF!),1)</definedName>
    <definedName name="T5_VYKLOPY">OFFSET('Běžné rámečky'!$BD$241,0,0,COUNT('Běžné rámečky'!$BE$241:$BE$281),1)</definedName>
    <definedName name="T6_PANT_BLUM">'Běžné rámečky'!$BC$295:$BC$312</definedName>
    <definedName name="T6_PANT_HETTICH">'Běžné rámečky'!$BB$295:$BB$312</definedName>
    <definedName name="T6_PANT_STRONG_BTL">'Běžné rámečky'!$BF$295:$BF$311</definedName>
    <definedName name="T6_PANT_STRONG_STL" localSheetId="29">#REF!</definedName>
    <definedName name="T6_PANT_STRONG_STL" localSheetId="0">#REF!</definedName>
    <definedName name="T6_PANT_STRONG_STL">'Běžné rámečky'!#REF!</definedName>
    <definedName name="T6_PODLOZKA_TYPY" localSheetId="29">OFFSET(#REF!,0,0,COUNT(#REF!),1)</definedName>
    <definedName name="T6_PODLOZKA_TYPY" localSheetId="0">OFFSET(#REF!,0,0,COUNT(#REF!),1)</definedName>
    <definedName name="T6_PODLOZKA_TYPY">OFFSET('Běžné rámečky'!$AS$297,0,0,COUNT('Běžné rámečky'!$AT$297:$AT$306),1)</definedName>
    <definedName name="T6_VYKLOPY" localSheetId="29">OFFSET(#REF!,0,0,COUNT(#REF!),1)</definedName>
    <definedName name="T6_VYKLOPY" localSheetId="0">OFFSET(#REF!,0,0,COUNT(#REF!),1)</definedName>
    <definedName name="T6_VYKLOPY">OFFSET('Běžné rámečky'!$BD$295,0,0,COUNT('Běžné rámečky'!$BE$295:$BE$335),1)</definedName>
    <definedName name="TYP_AV" localSheetId="29">#REF!</definedName>
    <definedName name="TYP_AV" localSheetId="0">#REF!</definedName>
    <definedName name="TYP_AV">'Běžné rámečky'!$J$379</definedName>
    <definedName name="TYP_AV_OST">#REF!</definedName>
    <definedName name="TYP_PODL" localSheetId="29">#REF!</definedName>
    <definedName name="TYP_PODL" localSheetId="0">#REF!</definedName>
    <definedName name="TYP_PODL">'Běžné rámečky'!$J$380</definedName>
    <definedName name="TYP_RAM" localSheetId="29">#REF!</definedName>
    <definedName name="TYP_RAM" localSheetId="0">#REF!</definedName>
    <definedName name="TYP_RAM">'Běžné rámečky'!$J$374</definedName>
    <definedName name="TYP_RAM_AV_HL" localSheetId="29">#REF!</definedName>
    <definedName name="TYP_RAM_AV_HL" localSheetId="0">#REF!</definedName>
    <definedName name="TYP_RAM_AV_HL">#REF!</definedName>
    <definedName name="TYP_ZAV" localSheetId="29">#REF!</definedName>
    <definedName name="TYP_ZAV" localSheetId="0">#REF!</definedName>
    <definedName name="TYP_ZAV">'Běžné rámečky'!$J$375</definedName>
    <definedName name="UMISTENI_RAM_HKXS" localSheetId="29">#REF!</definedName>
    <definedName name="UMISTENI_RAM_HKXS" localSheetId="0">#REF!</definedName>
    <definedName name="UMISTENI_RAM_HKXS">#REF!</definedName>
    <definedName name="UMISTENI_VYKLOP" localSheetId="29">#REF!</definedName>
    <definedName name="UMISTENI_VYKLOP" localSheetId="0">#REF!</definedName>
    <definedName name="UMISTENI_VYKLOP">#REF!</definedName>
    <definedName name="UZKY_RAM" localSheetId="29">#REF!</definedName>
    <definedName name="UZKY_RAM" localSheetId="0">#REF!</definedName>
    <definedName name="UZKY_RAM">'Běžné rámečky'!$J$384</definedName>
    <definedName name="VLEVO" localSheetId="29">#REF!</definedName>
    <definedName name="VLEVO" localSheetId="0">#REF!</definedName>
    <definedName name="VLEVO">'Běžné rámečky'!$J$370</definedName>
    <definedName name="VPRAVO" localSheetId="29">#REF!</definedName>
    <definedName name="VPRAVO" localSheetId="0">#REF!</definedName>
    <definedName name="VPRAVO">'Běžné rámečky'!$J$369</definedName>
    <definedName name="VYBER_SEZN">'Běžné rámečky'!$J$347</definedName>
    <definedName name="VYKLOP_DWN_SLIM" localSheetId="29">#REF!</definedName>
    <definedName name="VYKLOP_DWN_SLIM" localSheetId="0">#REF!</definedName>
    <definedName name="VYKLOP_DWN_SLIM">#REF!</definedName>
    <definedName name="VYKLOP_DWN_WIDE" localSheetId="29">#REF!</definedName>
    <definedName name="VYKLOP_DWN_WIDE" localSheetId="0">#REF!</definedName>
    <definedName name="VYKLOP_DWN_WIDE">#REF!</definedName>
    <definedName name="VYKLOP_UP_SLIM" localSheetId="29">#REF!</definedName>
    <definedName name="VYKLOP_UP_SLIM" localSheetId="0">#REF!</definedName>
    <definedName name="VYKLOP_UP_SLIM">#REF!</definedName>
    <definedName name="VYKLOP_UP_WIDE" localSheetId="29">#REF!</definedName>
    <definedName name="VYKLOP_UP_WIDE" localSheetId="0">#REF!</definedName>
    <definedName name="VYKLOP_UP_WIDE">#REF!</definedName>
    <definedName name="VYR_ZAVES" localSheetId="29">#REF!</definedName>
    <definedName name="VYR_ZAVES" localSheetId="0">#REF!</definedName>
    <definedName name="VYR_ZAVES">'Běžné rámečky'!$J$378</definedName>
    <definedName name="VZD_ZAVES" localSheetId="29">#REF!</definedName>
    <definedName name="VZD_ZAVES" localSheetId="0">#REF!</definedName>
    <definedName name="VZD_ZAVES">'Běžné rámečky'!$J$383</definedName>
    <definedName name="ZAVESY" localSheetId="29">#REF!</definedName>
    <definedName name="ZAVESY" localSheetId="0">#REF!</definedName>
    <definedName name="ZAVESY">'Běžné rámečky'!$J$348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2" i="63" l="1"/>
  <c r="BU3" i="63" s="1"/>
  <c r="DU570" i="63"/>
  <c r="DU518" i="63"/>
  <c r="Q50" i="63"/>
  <c r="Q48" i="63"/>
  <c r="Q45" i="63"/>
  <c r="Q44" i="63"/>
  <c r="CD35" i="63"/>
  <c r="CC35" i="63"/>
  <c r="CD34" i="63"/>
  <c r="CC34" i="63"/>
  <c r="CD33" i="63"/>
  <c r="CC33" i="63"/>
  <c r="CD32" i="63"/>
  <c r="CC32" i="63"/>
  <c r="R32" i="63"/>
  <c r="R30" i="63"/>
  <c r="V29" i="63"/>
  <c r="U29" i="63"/>
  <c r="V27" i="63"/>
  <c r="U27" i="63"/>
  <c r="R27" i="63"/>
  <c r="R26" i="63"/>
  <c r="V24" i="63"/>
  <c r="U24" i="63"/>
  <c r="V23" i="63"/>
  <c r="U23" i="63"/>
  <c r="A19" i="63"/>
  <c r="J15" i="63"/>
  <c r="J14" i="63"/>
  <c r="DL4" i="63"/>
  <c r="DK4" i="63"/>
  <c r="DJ4" i="63"/>
  <c r="DI4" i="63"/>
  <c r="DH4" i="63"/>
  <c r="DG4" i="63"/>
  <c r="DF4" i="63"/>
  <c r="DE4" i="63"/>
  <c r="DD4" i="63"/>
  <c r="DC4" i="63"/>
  <c r="DB4" i="63"/>
  <c r="DA4" i="63"/>
  <c r="CZ4" i="63"/>
  <c r="CY4" i="63"/>
  <c r="CX4" i="63"/>
  <c r="CW4" i="63"/>
  <c r="CV4" i="63"/>
  <c r="CU4" i="63"/>
  <c r="CT4" i="63"/>
  <c r="CS4" i="63"/>
  <c r="CR4" i="63"/>
  <c r="CQ4" i="63"/>
  <c r="CP4" i="63"/>
  <c r="CO4" i="63"/>
  <c r="CN4" i="63"/>
  <c r="CM4" i="63"/>
  <c r="CL4" i="63"/>
  <c r="CK4" i="63"/>
  <c r="CJ4" i="63"/>
  <c r="CI4" i="63"/>
  <c r="CH4" i="63"/>
  <c r="CG4" i="63"/>
  <c r="BU2" i="61"/>
  <c r="DU570" i="61"/>
  <c r="DU518" i="61"/>
  <c r="Q50" i="61"/>
  <c r="Q48" i="61"/>
  <c r="Q45" i="61"/>
  <c r="Q44" i="61"/>
  <c r="CD35" i="61"/>
  <c r="CC35" i="61"/>
  <c r="CD34" i="61"/>
  <c r="CC34" i="61"/>
  <c r="CD33" i="61"/>
  <c r="CC33" i="61"/>
  <c r="CD32" i="61"/>
  <c r="CC32" i="61"/>
  <c r="R32" i="61"/>
  <c r="R30" i="61"/>
  <c r="V29" i="61"/>
  <c r="U29" i="61"/>
  <c r="V27" i="61"/>
  <c r="U27" i="61"/>
  <c r="R27" i="61"/>
  <c r="R26" i="61"/>
  <c r="V24" i="61"/>
  <c r="U24" i="61"/>
  <c r="V23" i="61"/>
  <c r="U23" i="61"/>
  <c r="A19" i="61"/>
  <c r="J15" i="61"/>
  <c r="J14" i="61"/>
  <c r="DL4" i="61"/>
  <c r="DK4" i="61"/>
  <c r="DJ4" i="61"/>
  <c r="DI4" i="61"/>
  <c r="DH4" i="61"/>
  <c r="DG4" i="61"/>
  <c r="DF4" i="61"/>
  <c r="DE4" i="61"/>
  <c r="DD4" i="61"/>
  <c r="DC4" i="61"/>
  <c r="DB4" i="61"/>
  <c r="DA4" i="61"/>
  <c r="CZ4" i="61"/>
  <c r="CY4" i="61"/>
  <c r="CX4" i="61"/>
  <c r="CW4" i="61"/>
  <c r="CV4" i="61"/>
  <c r="CU4" i="61"/>
  <c r="CT4" i="61"/>
  <c r="CS4" i="61"/>
  <c r="CR4" i="61"/>
  <c r="CQ4" i="61"/>
  <c r="CP4" i="61"/>
  <c r="CO4" i="61"/>
  <c r="CN4" i="61"/>
  <c r="CM4" i="61"/>
  <c r="CL4" i="61"/>
  <c r="CK4" i="61"/>
  <c r="CJ4" i="61"/>
  <c r="CI4" i="61"/>
  <c r="CH4" i="61"/>
  <c r="CG4" i="61"/>
  <c r="BU3" i="61"/>
  <c r="BU2" i="59"/>
  <c r="BU3" i="59" s="1"/>
  <c r="DU570" i="59"/>
  <c r="DU518" i="59"/>
  <c r="Q50" i="59"/>
  <c r="Q48" i="59"/>
  <c r="Q45" i="59"/>
  <c r="Q44" i="59"/>
  <c r="CD35" i="59"/>
  <c r="CC35" i="59"/>
  <c r="CD34" i="59"/>
  <c r="CC34" i="59"/>
  <c r="CD33" i="59"/>
  <c r="CC33" i="59"/>
  <c r="CD32" i="59"/>
  <c r="CC32" i="59"/>
  <c r="R32" i="59"/>
  <c r="R30" i="59"/>
  <c r="V29" i="59"/>
  <c r="U29" i="59"/>
  <c r="V27" i="59"/>
  <c r="U27" i="59"/>
  <c r="R27" i="59"/>
  <c r="R26" i="59"/>
  <c r="V24" i="59"/>
  <c r="U24" i="59"/>
  <c r="V23" i="59"/>
  <c r="U23" i="59"/>
  <c r="A19" i="59"/>
  <c r="J15" i="59"/>
  <c r="J14" i="59"/>
  <c r="DL4" i="59"/>
  <c r="DK4" i="59"/>
  <c r="DJ4" i="59"/>
  <c r="DI4" i="59"/>
  <c r="DH4" i="59"/>
  <c r="DG4" i="59"/>
  <c r="DF4" i="59"/>
  <c r="DE4" i="59"/>
  <c r="DD4" i="59"/>
  <c r="DC4" i="59"/>
  <c r="DB4" i="59"/>
  <c r="DA4" i="59"/>
  <c r="CZ4" i="59"/>
  <c r="CY4" i="59"/>
  <c r="CX4" i="59"/>
  <c r="CW4" i="59"/>
  <c r="CV4" i="59"/>
  <c r="CU4" i="59"/>
  <c r="CT4" i="59"/>
  <c r="CS4" i="59"/>
  <c r="CR4" i="59"/>
  <c r="CQ4" i="59"/>
  <c r="CP4" i="59"/>
  <c r="CO4" i="59"/>
  <c r="CN4" i="59"/>
  <c r="CM4" i="59"/>
  <c r="CL4" i="59"/>
  <c r="CK4" i="59"/>
  <c r="CJ4" i="59"/>
  <c r="CI4" i="59"/>
  <c r="CH4" i="59"/>
  <c r="CG4" i="59"/>
  <c r="BU2" i="57"/>
  <c r="BU3" i="57" s="1"/>
  <c r="DU570" i="57"/>
  <c r="DU518" i="57"/>
  <c r="Q50" i="57"/>
  <c r="Q48" i="57"/>
  <c r="Q45" i="57"/>
  <c r="Q44" i="57"/>
  <c r="CD35" i="57"/>
  <c r="CC35" i="57"/>
  <c r="CD34" i="57"/>
  <c r="CC34" i="57"/>
  <c r="CD33" i="57"/>
  <c r="CC33" i="57"/>
  <c r="CD32" i="57"/>
  <c r="CC32" i="57"/>
  <c r="R32" i="57"/>
  <c r="R30" i="57"/>
  <c r="V29" i="57"/>
  <c r="U29" i="57"/>
  <c r="V27" i="57"/>
  <c r="U27" i="57"/>
  <c r="R27" i="57"/>
  <c r="R26" i="57"/>
  <c r="V24" i="57"/>
  <c r="U24" i="57"/>
  <c r="V23" i="57"/>
  <c r="U23" i="57"/>
  <c r="A19" i="57"/>
  <c r="J15" i="57"/>
  <c r="J14" i="57"/>
  <c r="DL4" i="57"/>
  <c r="DK4" i="57"/>
  <c r="DJ4" i="57"/>
  <c r="DI4" i="57"/>
  <c r="DH4" i="57"/>
  <c r="DG4" i="57"/>
  <c r="DF4" i="57"/>
  <c r="DE4" i="57"/>
  <c r="DD4" i="57"/>
  <c r="DC4" i="57"/>
  <c r="DB4" i="57"/>
  <c r="DA4" i="57"/>
  <c r="CZ4" i="57"/>
  <c r="CY4" i="57"/>
  <c r="CX4" i="57"/>
  <c r="CW4" i="57"/>
  <c r="CV4" i="57"/>
  <c r="CU4" i="57"/>
  <c r="CT4" i="57"/>
  <c r="CS4" i="57"/>
  <c r="CR4" i="57"/>
  <c r="CQ4" i="57"/>
  <c r="CP4" i="57"/>
  <c r="CO4" i="57"/>
  <c r="CN4" i="57"/>
  <c r="CM4" i="57"/>
  <c r="CL4" i="57"/>
  <c r="CK4" i="57"/>
  <c r="CJ4" i="57"/>
  <c r="CI4" i="57"/>
  <c r="CH4" i="57"/>
  <c r="CG4" i="57"/>
  <c r="BU2" i="55"/>
  <c r="BU3" i="55" s="1"/>
  <c r="DU570" i="55"/>
  <c r="DU518" i="55"/>
  <c r="Q50" i="55"/>
  <c r="Q48" i="55"/>
  <c r="Q45" i="55"/>
  <c r="Q44" i="55"/>
  <c r="CD35" i="55"/>
  <c r="CC35" i="55"/>
  <c r="CD34" i="55"/>
  <c r="CC34" i="55"/>
  <c r="CD33" i="55"/>
  <c r="CC33" i="55"/>
  <c r="CD32" i="55"/>
  <c r="CC32" i="55"/>
  <c r="R32" i="55"/>
  <c r="R30" i="55"/>
  <c r="V29" i="55"/>
  <c r="U29" i="55"/>
  <c r="V27" i="55"/>
  <c r="U27" i="55"/>
  <c r="R27" i="55"/>
  <c r="R26" i="55"/>
  <c r="V24" i="55"/>
  <c r="U24" i="55"/>
  <c r="V23" i="55"/>
  <c r="U23" i="55"/>
  <c r="A19" i="55"/>
  <c r="J15" i="55"/>
  <c r="J14" i="55"/>
  <c r="DL4" i="55"/>
  <c r="DK4" i="55"/>
  <c r="DJ4" i="55"/>
  <c r="DI4" i="55"/>
  <c r="DH4" i="55"/>
  <c r="DG4" i="55"/>
  <c r="DF4" i="55"/>
  <c r="DE4" i="55"/>
  <c r="DD4" i="55"/>
  <c r="DC4" i="55"/>
  <c r="DB4" i="55"/>
  <c r="DA4" i="55"/>
  <c r="CZ4" i="55"/>
  <c r="CY4" i="55"/>
  <c r="CX4" i="55"/>
  <c r="CW4" i="55"/>
  <c r="CV4" i="55"/>
  <c r="CU4" i="55"/>
  <c r="CT4" i="55"/>
  <c r="CS4" i="55"/>
  <c r="CR4" i="55"/>
  <c r="CQ4" i="55"/>
  <c r="CP4" i="55"/>
  <c r="CO4" i="55"/>
  <c r="CN4" i="55"/>
  <c r="CM4" i="55"/>
  <c r="CL4" i="55"/>
  <c r="CK4" i="55"/>
  <c r="CJ4" i="55"/>
  <c r="CI4" i="55"/>
  <c r="CH4" i="55"/>
  <c r="CG4" i="55"/>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04" i="53"/>
  <c r="DU570" i="50"/>
  <c r="DU518" i="50"/>
  <c r="AU30" i="32" l="1"/>
  <c r="X54" i="95" a="1"/>
  <c r="T54" i="95" a="1"/>
  <c r="T47" i="95"/>
  <c r="AJ36" i="95" a="1"/>
  <c r="AJ40" i="95" s="1"/>
  <c r="H36" i="95" a="1"/>
  <c r="AA29" i="95"/>
  <c r="AT43" i="95"/>
  <c r="AW24" i="95"/>
  <c r="AV16" i="95"/>
  <c r="AU16" i="95"/>
  <c r="AW16" i="95" s="1"/>
  <c r="AW15" i="95"/>
  <c r="AV15" i="95"/>
  <c r="AU15" i="95"/>
  <c r="AT15" i="95"/>
  <c r="S13" i="95"/>
  <c r="BI3" i="95"/>
  <c r="BD3" i="95"/>
  <c r="X54" i="94" a="1"/>
  <c r="T54" i="94" a="1"/>
  <c r="T47" i="94"/>
  <c r="AJ36" i="94" a="1"/>
  <c r="AJ36" i="94" s="1"/>
  <c r="H39" i="94"/>
  <c r="H36" i="94" a="1"/>
  <c r="AA29" i="94"/>
  <c r="AT11" i="94"/>
  <c r="AT43" i="94"/>
  <c r="AW24" i="94"/>
  <c r="AV16" i="94"/>
  <c r="AU16" i="94"/>
  <c r="AW16" i="94" s="1"/>
  <c r="AW15" i="94"/>
  <c r="AV15" i="94"/>
  <c r="AU15" i="94"/>
  <c r="AT15" i="94"/>
  <c r="S13" i="94"/>
  <c r="BI3" i="94"/>
  <c r="BD3" i="94"/>
  <c r="X54" i="93" a="1"/>
  <c r="T54" i="93" a="1"/>
  <c r="T47" i="93"/>
  <c r="AJ36" i="93" a="1"/>
  <c r="AJ38" i="93" s="1"/>
  <c r="H39" i="93"/>
  <c r="H36" i="93" a="1"/>
  <c r="AA29" i="93"/>
  <c r="AT11" i="93"/>
  <c r="AT43" i="93"/>
  <c r="AW24" i="93"/>
  <c r="AU16" i="93"/>
  <c r="AV15" i="93"/>
  <c r="AV16" i="93" s="1"/>
  <c r="AU15" i="93"/>
  <c r="AW15" i="93" s="1"/>
  <c r="AT15" i="93"/>
  <c r="S13" i="93"/>
  <c r="BI3" i="93"/>
  <c r="BD3" i="93"/>
  <c r="X54" i="92" a="1"/>
  <c r="T54" i="92" a="1"/>
  <c r="T47" i="92"/>
  <c r="AJ36" i="92" a="1"/>
  <c r="AJ38" i="92" s="1"/>
  <c r="H39" i="92"/>
  <c r="H36" i="92" a="1"/>
  <c r="AA29" i="92"/>
  <c r="AT11" i="92"/>
  <c r="AT43" i="92"/>
  <c r="AW24" i="92"/>
  <c r="AV16" i="92"/>
  <c r="AU16" i="92"/>
  <c r="AW16" i="92" s="1"/>
  <c r="AW15" i="92"/>
  <c r="AV15" i="92"/>
  <c r="AU15" i="92"/>
  <c r="AT15" i="92"/>
  <c r="BI3" i="92"/>
  <c r="BD3" i="92"/>
  <c r="X54" i="91" a="1"/>
  <c r="T54" i="91" a="1"/>
  <c r="T47" i="91"/>
  <c r="AJ36" i="91" a="1"/>
  <c r="AJ36" i="91" s="1"/>
  <c r="H39" i="91"/>
  <c r="H36" i="91" a="1"/>
  <c r="AA29" i="91"/>
  <c r="AT11" i="91"/>
  <c r="AT43" i="91"/>
  <c r="AW24" i="91"/>
  <c r="AV15" i="91"/>
  <c r="AV16" i="91" s="1"/>
  <c r="AU15" i="91"/>
  <c r="AU16" i="91" s="1"/>
  <c r="AW16" i="91" s="1"/>
  <c r="AT15" i="91"/>
  <c r="S13" i="91"/>
  <c r="BI3" i="91"/>
  <c r="BD3" i="91"/>
  <c r="AC16" i="99"/>
  <c r="AC11" i="99"/>
  <c r="AJ36" i="95" l="1"/>
  <c r="H39" i="95"/>
  <c r="AJ37" i="95"/>
  <c r="AJ38" i="95"/>
  <c r="AJ39" i="95"/>
  <c r="AJ37" i="94"/>
  <c r="AJ38" i="94"/>
  <c r="AJ39" i="94"/>
  <c r="AJ40" i="94"/>
  <c r="AJ37" i="93"/>
  <c r="AJ36" i="93"/>
  <c r="AJ39" i="93"/>
  <c r="AJ40" i="93"/>
  <c r="AW16" i="93"/>
  <c r="AJ37" i="92"/>
  <c r="AJ36" i="92"/>
  <c r="AJ39" i="92"/>
  <c r="AJ40" i="92"/>
  <c r="AJ37" i="91"/>
  <c r="AJ38" i="91"/>
  <c r="AJ39" i="91"/>
  <c r="AJ40" i="91"/>
  <c r="AW15" i="91"/>
  <c r="AC24" i="99"/>
  <c r="W24" i="99"/>
  <c r="AC27" i="99"/>
  <c r="BY194" i="99" l="1"/>
  <c r="BY121" i="99"/>
  <c r="AC22" i="99"/>
  <c r="AC20" i="99"/>
  <c r="W20" i="99"/>
  <c r="W19" i="99"/>
  <c r="B6" i="30"/>
  <c r="C6" i="30"/>
  <c r="D6" i="30"/>
  <c r="B7" i="30"/>
  <c r="C7" i="30"/>
  <c r="D7" i="30"/>
  <c r="B8" i="30"/>
  <c r="C8" i="30"/>
  <c r="D8" i="30"/>
  <c r="B9" i="30"/>
  <c r="B351" i="6"/>
  <c r="C9" i="30"/>
  <c r="D9" i="30"/>
  <c r="B10" i="30"/>
  <c r="C10" i="30"/>
  <c r="D10" i="30"/>
  <c r="B11" i="30"/>
  <c r="C11" i="30"/>
  <c r="D11" i="30"/>
  <c r="B12" i="30"/>
  <c r="C12" i="30"/>
  <c r="D12" i="30"/>
  <c r="B13" i="30"/>
  <c r="B355" i="6" s="1"/>
  <c r="C13" i="30"/>
  <c r="D13" i="30"/>
  <c r="B14" i="30"/>
  <c r="C14" i="30"/>
  <c r="D14" i="30"/>
  <c r="B15" i="30"/>
  <c r="C15" i="30"/>
  <c r="D15" i="30"/>
  <c r="B16" i="30"/>
  <c r="C16" i="30"/>
  <c r="D16" i="30"/>
  <c r="B17" i="30"/>
  <c r="B359" i="6"/>
  <c r="C17" i="30"/>
  <c r="D17" i="30"/>
  <c r="B18" i="30"/>
  <c r="C18" i="30"/>
  <c r="D18" i="30"/>
  <c r="B19" i="30"/>
  <c r="C19" i="30"/>
  <c r="D19" i="30"/>
  <c r="B20" i="30"/>
  <c r="C20" i="30"/>
  <c r="D20" i="30"/>
  <c r="B21" i="30"/>
  <c r="W29" i="2"/>
  <c r="C21" i="30"/>
  <c r="D21" i="30"/>
  <c r="B22" i="30"/>
  <c r="C22" i="30"/>
  <c r="D22" i="30"/>
  <c r="B23" i="30"/>
  <c r="C23" i="30"/>
  <c r="D23" i="30"/>
  <c r="B24" i="30"/>
  <c r="C24" i="30"/>
  <c r="D24" i="30"/>
  <c r="B25" i="30"/>
  <c r="C25" i="30"/>
  <c r="D25" i="30"/>
  <c r="B26" i="30"/>
  <c r="C26" i="30"/>
  <c r="D26" i="30"/>
  <c r="B27" i="30"/>
  <c r="C27" i="30"/>
  <c r="D27" i="30"/>
  <c r="B28" i="30"/>
  <c r="C28" i="30"/>
  <c r="D28" i="30"/>
  <c r="B29" i="30"/>
  <c r="W35" i="2" s="1"/>
  <c r="C29" i="30"/>
  <c r="D29" i="30"/>
  <c r="B30" i="30"/>
  <c r="C30" i="30"/>
  <c r="D30" i="30"/>
  <c r="B31" i="30"/>
  <c r="C31" i="30"/>
  <c r="D31" i="30"/>
  <c r="B32" i="30"/>
  <c r="B374" i="6" s="1"/>
  <c r="C32" i="30"/>
  <c r="D32" i="30"/>
  <c r="B33" i="30"/>
  <c r="B375" i="6"/>
  <c r="C33" i="30"/>
  <c r="D33" i="30"/>
  <c r="B34" i="30"/>
  <c r="C34" i="30"/>
  <c r="D34" i="30"/>
  <c r="B35" i="30"/>
  <c r="C35" i="30"/>
  <c r="D35" i="30"/>
  <c r="B36" i="30"/>
  <c r="C36" i="30"/>
  <c r="D36" i="30"/>
  <c r="B37" i="30"/>
  <c r="W45" i="2"/>
  <c r="C37" i="30"/>
  <c r="D37" i="30"/>
  <c r="B38" i="30"/>
  <c r="C38" i="30"/>
  <c r="D38" i="30"/>
  <c r="B39" i="30"/>
  <c r="C39" i="30"/>
  <c r="D39" i="30"/>
  <c r="B40" i="30"/>
  <c r="C40" i="30"/>
  <c r="D40" i="30"/>
  <c r="B41" i="30"/>
  <c r="B383" i="6" s="1"/>
  <c r="C41" i="30"/>
  <c r="D41" i="30"/>
  <c r="B42" i="30"/>
  <c r="C42" i="30"/>
  <c r="D42" i="30"/>
  <c r="B43" i="30"/>
  <c r="C43" i="30"/>
  <c r="D43" i="30"/>
  <c r="B44" i="30"/>
  <c r="C44" i="30"/>
  <c r="D44" i="30"/>
  <c r="B45" i="30"/>
  <c r="B387" i="6" s="1"/>
  <c r="C45" i="30"/>
  <c r="D45" i="30"/>
  <c r="B46" i="30"/>
  <c r="B388" i="6" s="1"/>
  <c r="C46" i="30"/>
  <c r="D46" i="30"/>
  <c r="B47" i="30"/>
  <c r="C47" i="30"/>
  <c r="D47" i="30"/>
  <c r="B52" i="30"/>
  <c r="C52" i="30"/>
  <c r="D52" i="30"/>
  <c r="B53" i="30"/>
  <c r="B397" i="6"/>
  <c r="C53" i="30"/>
  <c r="D53" i="30"/>
  <c r="B54" i="30"/>
  <c r="C54" i="30"/>
  <c r="D54" i="30"/>
  <c r="B55" i="30"/>
  <c r="C55" i="30"/>
  <c r="D55" i="30"/>
  <c r="B56" i="30"/>
  <c r="C56" i="30"/>
  <c r="D56" i="30"/>
  <c r="B57" i="30"/>
  <c r="B410" i="6" s="1"/>
  <c r="C57" i="30"/>
  <c r="D57" i="30"/>
  <c r="B58" i="30"/>
  <c r="C58" i="30"/>
  <c r="D58" i="30"/>
  <c r="B59" i="30"/>
  <c r="C59" i="30"/>
  <c r="D59" i="30"/>
  <c r="B60" i="30"/>
  <c r="C60" i="30"/>
  <c r="D60" i="30"/>
  <c r="B61" i="30"/>
  <c r="C61" i="30"/>
  <c r="D61" i="30"/>
  <c r="B62" i="30"/>
  <c r="C62" i="30"/>
  <c r="D62" i="30"/>
  <c r="B63" i="30"/>
  <c r="C63" i="30"/>
  <c r="D63" i="30"/>
  <c r="B64" i="30"/>
  <c r="C64" i="30"/>
  <c r="D64" i="30"/>
  <c r="B65" i="30"/>
  <c r="B418" i="6" s="1"/>
  <c r="C418" i="6" s="1"/>
  <c r="C65" i="30"/>
  <c r="D65" i="30"/>
  <c r="B66" i="30"/>
  <c r="C66" i="30"/>
  <c r="D66" i="30"/>
  <c r="B67" i="30"/>
  <c r="C67" i="30"/>
  <c r="D67" i="30"/>
  <c r="B68" i="30"/>
  <c r="C68" i="30"/>
  <c r="D68" i="30"/>
  <c r="B69" i="30"/>
  <c r="D414" i="6" s="1"/>
  <c r="C69" i="30"/>
  <c r="D69" i="30"/>
  <c r="B70" i="30"/>
  <c r="C70" i="30"/>
  <c r="D70" i="30"/>
  <c r="B71" i="30"/>
  <c r="C71" i="30"/>
  <c r="D71" i="30"/>
  <c r="B72" i="30"/>
  <c r="C72" i="30"/>
  <c r="D72" i="30"/>
  <c r="B73" i="30"/>
  <c r="D418" i="6"/>
  <c r="C73" i="30"/>
  <c r="D73" i="30"/>
  <c r="B74" i="30"/>
  <c r="C74" i="30"/>
  <c r="D74" i="30"/>
  <c r="B75" i="30"/>
  <c r="C75" i="30"/>
  <c r="D75" i="30"/>
  <c r="B76" i="30"/>
  <c r="C76" i="30"/>
  <c r="D76" i="30"/>
  <c r="B77" i="30"/>
  <c r="AC23" i="2" s="1"/>
  <c r="C77" i="30"/>
  <c r="D77" i="30"/>
  <c r="B78" i="30"/>
  <c r="C78" i="30"/>
  <c r="D78" i="30"/>
  <c r="B79" i="30"/>
  <c r="C79" i="30"/>
  <c r="D79" i="30"/>
  <c r="B80" i="30"/>
  <c r="C80" i="30"/>
  <c r="D80" i="30"/>
  <c r="B81" i="30"/>
  <c r="B434" i="6" s="1"/>
  <c r="C434" i="6" s="1"/>
  <c r="C81" i="30"/>
  <c r="D81" i="30"/>
  <c r="B82" i="30"/>
  <c r="C82" i="30"/>
  <c r="D82" i="30"/>
  <c r="B83" i="30"/>
  <c r="C83" i="30"/>
  <c r="D83" i="30"/>
  <c r="B84" i="30"/>
  <c r="AC30" i="2" s="1"/>
  <c r="C84" i="30"/>
  <c r="D84" i="30"/>
  <c r="B85" i="30"/>
  <c r="D430" i="6"/>
  <c r="C85" i="30"/>
  <c r="D85" i="30"/>
  <c r="B86" i="30"/>
  <c r="C86" i="30"/>
  <c r="D86" i="30"/>
  <c r="B87" i="30"/>
  <c r="C87" i="30"/>
  <c r="D87" i="30"/>
  <c r="B88" i="30"/>
  <c r="C88" i="30"/>
  <c r="D88" i="30"/>
  <c r="B89" i="30"/>
  <c r="D434" i="6" s="1"/>
  <c r="C89" i="30"/>
  <c r="D89" i="30"/>
  <c r="B90" i="30"/>
  <c r="C90" i="30"/>
  <c r="D90" i="30"/>
  <c r="B91" i="30"/>
  <c r="C91" i="30"/>
  <c r="D91" i="30"/>
  <c r="B92" i="30"/>
  <c r="C92" i="30"/>
  <c r="D92" i="30"/>
  <c r="B93" i="30"/>
  <c r="B446" i="6"/>
  <c r="C446" i="6" s="1"/>
  <c r="C93" i="30"/>
  <c r="D93" i="30"/>
  <c r="B94" i="30"/>
  <c r="C94" i="30"/>
  <c r="D94" i="30"/>
  <c r="B95" i="30"/>
  <c r="C95" i="30"/>
  <c r="D95" i="30"/>
  <c r="B96" i="30"/>
  <c r="C96" i="30"/>
  <c r="D96" i="30"/>
  <c r="B97" i="30"/>
  <c r="B450" i="6"/>
  <c r="C450" i="6" s="1"/>
  <c r="C97" i="30"/>
  <c r="D97" i="30"/>
  <c r="B98" i="30"/>
  <c r="D443" i="6" s="1"/>
  <c r="C98" i="30"/>
  <c r="D98" i="30"/>
  <c r="B99" i="30"/>
  <c r="C99" i="30"/>
  <c r="D99" i="30"/>
  <c r="B100" i="30"/>
  <c r="C100" i="30"/>
  <c r="D100" i="30"/>
  <c r="B101" i="30"/>
  <c r="D446" i="6"/>
  <c r="C101" i="30"/>
  <c r="D101" i="30"/>
  <c r="B102" i="30"/>
  <c r="C102" i="30"/>
  <c r="D102" i="30"/>
  <c r="B103" i="30"/>
  <c r="C103" i="30"/>
  <c r="D103" i="30"/>
  <c r="B104" i="30"/>
  <c r="C104" i="30"/>
  <c r="D104" i="30"/>
  <c r="B105" i="30"/>
  <c r="D450" i="6" s="1"/>
  <c r="C105" i="30"/>
  <c r="D105" i="30"/>
  <c r="B106" i="30"/>
  <c r="C106" i="30"/>
  <c r="D106" i="30"/>
  <c r="B107" i="30"/>
  <c r="C107" i="30"/>
  <c r="D107" i="30"/>
  <c r="B108" i="30"/>
  <c r="C108" i="30"/>
  <c r="D108" i="30"/>
  <c r="B109" i="30"/>
  <c r="D454" i="6"/>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C128" i="6" s="1"/>
  <c r="B130" i="30"/>
  <c r="B131" i="30"/>
  <c r="B132" i="30"/>
  <c r="B133" i="30"/>
  <c r="AA294" i="6" s="1"/>
  <c r="B134" i="30"/>
  <c r="AA25" i="6" s="1"/>
  <c r="B135" i="30"/>
  <c r="B136" i="30"/>
  <c r="B137" i="30"/>
  <c r="B138" i="30"/>
  <c r="B139" i="30"/>
  <c r="B140" i="30"/>
  <c r="B141" i="30"/>
  <c r="B142" i="30"/>
  <c r="B143" i="30"/>
  <c r="J364" i="6" s="1"/>
  <c r="B144" i="30"/>
  <c r="B145" i="30"/>
  <c r="B495" i="6" s="1"/>
  <c r="B146" i="30"/>
  <c r="J356" i="6" s="1"/>
  <c r="B147" i="30"/>
  <c r="B148" i="30"/>
  <c r="B149" i="30"/>
  <c r="B150" i="30"/>
  <c r="B151" i="30"/>
  <c r="B152" i="30"/>
  <c r="B153" i="30"/>
  <c r="C486" i="6" s="1"/>
  <c r="B154" i="30"/>
  <c r="B155" i="30"/>
  <c r="B156" i="30"/>
  <c r="B157" i="30"/>
  <c r="C527" i="6" s="1"/>
  <c r="B158" i="30"/>
  <c r="C491" i="6" s="1"/>
  <c r="B159" i="30"/>
  <c r="B160" i="30"/>
  <c r="B161" i="30"/>
  <c r="B162" i="30"/>
  <c r="B163" i="30"/>
  <c r="C496" i="6" s="1"/>
  <c r="B164" i="30"/>
  <c r="B165" i="30"/>
  <c r="B166" i="30"/>
  <c r="B167" i="30"/>
  <c r="B168" i="30"/>
  <c r="B169" i="30"/>
  <c r="B170" i="30"/>
  <c r="B171" i="30"/>
  <c r="B172" i="30"/>
  <c r="B173" i="30"/>
  <c r="B174" i="30"/>
  <c r="B175" i="30"/>
  <c r="C534" i="6" s="1"/>
  <c r="B176" i="30"/>
  <c r="B177" i="30"/>
  <c r="B178" i="30"/>
  <c r="B179" i="30"/>
  <c r="B180" i="30"/>
  <c r="B181" i="30"/>
  <c r="J379" i="6" s="1"/>
  <c r="B182" i="30"/>
  <c r="J380" i="6" s="1"/>
  <c r="B183" i="30"/>
  <c r="B184" i="30"/>
  <c r="B185" i="30"/>
  <c r="AB307" i="6" s="1"/>
  <c r="B186" i="30"/>
  <c r="B187" i="30"/>
  <c r="B188" i="30"/>
  <c r="B189" i="30"/>
  <c r="B190" i="30"/>
  <c r="B191" i="30"/>
  <c r="J384" i="6" s="1"/>
  <c r="B192" i="30"/>
  <c r="B193" i="30"/>
  <c r="J388" i="6" s="1"/>
  <c r="B194" i="30"/>
  <c r="J389" i="6" s="1"/>
  <c r="B195" i="30"/>
  <c r="B196" i="30"/>
  <c r="B197" i="30"/>
  <c r="B198" i="30"/>
  <c r="B199" i="30"/>
  <c r="B200" i="30"/>
  <c r="B201" i="30"/>
  <c r="B202" i="30"/>
  <c r="B203" i="30"/>
  <c r="B204" i="30"/>
  <c r="B205" i="30"/>
  <c r="B206" i="30"/>
  <c r="B14" i="6"/>
  <c r="B207" i="30"/>
  <c r="B208" i="30"/>
  <c r="B209" i="30"/>
  <c r="B210" i="30"/>
  <c r="B211" i="30"/>
  <c r="B212" i="30"/>
  <c r="B213" i="30"/>
  <c r="B214" i="30"/>
  <c r="B215" i="30"/>
  <c r="B216" i="30"/>
  <c r="B217" i="30"/>
  <c r="J357" i="6"/>
  <c r="B218" i="30"/>
  <c r="J358" i="6" s="1"/>
  <c r="B219" i="30"/>
  <c r="B220" i="30"/>
  <c r="B221" i="30"/>
  <c r="B222" i="30"/>
  <c r="J391" i="6" s="1"/>
  <c r="B223" i="30"/>
  <c r="B224" i="30"/>
  <c r="B225" i="30"/>
  <c r="B226" i="30"/>
  <c r="B227" i="30"/>
  <c r="B228" i="30"/>
  <c r="B3" i="2" s="1"/>
  <c r="B229" i="30"/>
  <c r="B230" i="30"/>
  <c r="C16" i="2" s="1"/>
  <c r="B231" i="30"/>
  <c r="B232" i="30"/>
  <c r="B233" i="30"/>
  <c r="B234" i="30"/>
  <c r="B235" i="30"/>
  <c r="B236" i="30"/>
  <c r="B237" i="30"/>
  <c r="B238" i="30"/>
  <c r="B239" i="30"/>
  <c r="B240" i="30"/>
  <c r="B241" i="30"/>
  <c r="J374" i="6" s="1"/>
  <c r="B242" i="30"/>
  <c r="J373" i="6" s="1"/>
  <c r="B243" i="30"/>
  <c r="B244" i="30"/>
  <c r="B245" i="30"/>
  <c r="B246" i="30"/>
  <c r="B247" i="30"/>
  <c r="B248" i="30"/>
  <c r="B249" i="30"/>
  <c r="J393" i="6" s="1"/>
  <c r="B250" i="30"/>
  <c r="G942" i="30" s="1"/>
  <c r="B251" i="30"/>
  <c r="B252" i="30"/>
  <c r="B253" i="30"/>
  <c r="B10" i="6" s="1"/>
  <c r="B254" i="30"/>
  <c r="B255" i="30"/>
  <c r="B256" i="30"/>
  <c r="B257" i="30"/>
  <c r="B258" i="30"/>
  <c r="B259" i="30"/>
  <c r="B260" i="30"/>
  <c r="B261" i="30"/>
  <c r="B262" i="30"/>
  <c r="B263" i="30"/>
  <c r="B264" i="30"/>
  <c r="B265" i="30"/>
  <c r="B3" i="6"/>
  <c r="B266" i="30"/>
  <c r="B267" i="30"/>
  <c r="B268" i="30"/>
  <c r="B269" i="30"/>
  <c r="B270" i="30"/>
  <c r="B271" i="30"/>
  <c r="B272" i="30"/>
  <c r="B273" i="30"/>
  <c r="B274" i="30"/>
  <c r="B275" i="30"/>
  <c r="B276" i="30"/>
  <c r="B277" i="30"/>
  <c r="B7" i="2" s="1"/>
  <c r="B278" i="30"/>
  <c r="B279" i="30"/>
  <c r="B280" i="30"/>
  <c r="B281" i="30"/>
  <c r="B282" i="30"/>
  <c r="B283" i="30"/>
  <c r="B284" i="30"/>
  <c r="B285" i="30"/>
  <c r="B286" i="30"/>
  <c r="B287" i="30"/>
  <c r="B288" i="30"/>
  <c r="B289" i="30"/>
  <c r="B11" i="6"/>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E966" i="30"/>
  <c r="F966" i="30"/>
  <c r="G966" i="30"/>
  <c r="H966" i="30"/>
  <c r="I966" i="30"/>
  <c r="F967" i="30"/>
  <c r="E967" i="30" s="1"/>
  <c r="G967" i="30"/>
  <c r="H967" i="30"/>
  <c r="I967" i="30"/>
  <c r="E968" i="30"/>
  <c r="F968" i="30"/>
  <c r="G968" i="30"/>
  <c r="H968" i="30"/>
  <c r="I968" i="30"/>
  <c r="E969" i="30"/>
  <c r="F969" i="30"/>
  <c r="G969" i="30"/>
  <c r="H969" i="30"/>
  <c r="I969" i="30"/>
  <c r="E970" i="30"/>
  <c r="F970" i="30"/>
  <c r="G970" i="30"/>
  <c r="H970" i="30"/>
  <c r="I970" i="30"/>
  <c r="F971" i="30"/>
  <c r="E971" i="30" s="1"/>
  <c r="G971" i="30"/>
  <c r="H971" i="30"/>
  <c r="I971" i="30"/>
  <c r="B6" i="17"/>
  <c r="V6" i="17" s="1"/>
  <c r="C6" i="17"/>
  <c r="D6" i="17"/>
  <c r="D348" i="6" s="1"/>
  <c r="AJ293" i="6" s="1"/>
  <c r="AM293" i="6" s="1"/>
  <c r="B7" i="17"/>
  <c r="V7" i="17" s="1"/>
  <c r="C7" i="17"/>
  <c r="D7" i="17"/>
  <c r="B8" i="17"/>
  <c r="V8" i="17" s="1"/>
  <c r="C8" i="17"/>
  <c r="D8" i="17"/>
  <c r="B9" i="17"/>
  <c r="C9" i="17"/>
  <c r="D9" i="17"/>
  <c r="B10" i="17"/>
  <c r="C10" i="17"/>
  <c r="D10" i="17"/>
  <c r="V10" i="17"/>
  <c r="B11" i="17"/>
  <c r="C11" i="17"/>
  <c r="D11" i="17"/>
  <c r="V11" i="17"/>
  <c r="B12" i="17"/>
  <c r="C12" i="17"/>
  <c r="D12" i="17"/>
  <c r="V12" i="17"/>
  <c r="B13" i="17"/>
  <c r="C13" i="17"/>
  <c r="D13" i="17"/>
  <c r="B14" i="17"/>
  <c r="C14" i="17"/>
  <c r="D14" i="17"/>
  <c r="V14" i="17"/>
  <c r="B15" i="17"/>
  <c r="V15" i="17" s="1"/>
  <c r="C15" i="17"/>
  <c r="D15" i="17"/>
  <c r="B16" i="17"/>
  <c r="C16" i="17"/>
  <c r="D16" i="17"/>
  <c r="B17" i="17"/>
  <c r="C17" i="17"/>
  <c r="D17" i="17"/>
  <c r="V17" i="17"/>
  <c r="B18" i="17"/>
  <c r="V18" i="17" s="1"/>
  <c r="C18" i="17"/>
  <c r="D18" i="17"/>
  <c r="B19" i="17"/>
  <c r="V19" i="17" s="1"/>
  <c r="C19" i="17"/>
  <c r="D19" i="17"/>
  <c r="B20" i="17"/>
  <c r="C20" i="17"/>
  <c r="D20" i="17"/>
  <c r="V20" i="17"/>
  <c r="B21" i="17"/>
  <c r="V21" i="17" s="1"/>
  <c r="C21" i="17"/>
  <c r="D21" i="17"/>
  <c r="B22" i="17"/>
  <c r="V22" i="17" s="1"/>
  <c r="C22" i="17"/>
  <c r="D22" i="17"/>
  <c r="B23" i="17"/>
  <c r="C23" i="17"/>
  <c r="D23" i="17"/>
  <c r="B24" i="17"/>
  <c r="V24" i="17" s="1"/>
  <c r="C24" i="17"/>
  <c r="D24" i="17"/>
  <c r="B25" i="17"/>
  <c r="C25" i="17"/>
  <c r="D25" i="17"/>
  <c r="V25" i="17"/>
  <c r="B26" i="17"/>
  <c r="C26" i="17"/>
  <c r="D26" i="17"/>
  <c r="B27" i="17"/>
  <c r="V27" i="17" s="1"/>
  <c r="C27" i="17"/>
  <c r="D27" i="17"/>
  <c r="B28" i="17"/>
  <c r="V28" i="17" s="1"/>
  <c r="C28" i="17"/>
  <c r="D28" i="17"/>
  <c r="B29" i="17"/>
  <c r="V29" i="17" s="1"/>
  <c r="C29" i="17"/>
  <c r="D29" i="17"/>
  <c r="B30" i="17"/>
  <c r="V30" i="17" s="1"/>
  <c r="C30" i="17"/>
  <c r="D30" i="17"/>
  <c r="B31" i="17"/>
  <c r="V31" i="17" s="1"/>
  <c r="C31" i="17"/>
  <c r="D31" i="17"/>
  <c r="B32" i="17"/>
  <c r="C32" i="17"/>
  <c r="D32" i="17"/>
  <c r="B33" i="17"/>
  <c r="C33" i="17"/>
  <c r="D33" i="17"/>
  <c r="V33" i="17"/>
  <c r="B34" i="17"/>
  <c r="C34" i="17"/>
  <c r="D34" i="17"/>
  <c r="V34" i="17"/>
  <c r="B35" i="17"/>
  <c r="C35" i="17"/>
  <c r="D35" i="17"/>
  <c r="V35" i="17"/>
  <c r="B36" i="17"/>
  <c r="C36" i="17"/>
  <c r="D36" i="17"/>
  <c r="V36" i="17"/>
  <c r="B37" i="17"/>
  <c r="C37" i="17"/>
  <c r="D37" i="17"/>
  <c r="V37" i="17"/>
  <c r="B38" i="17"/>
  <c r="C38" i="17"/>
  <c r="D38" i="17"/>
  <c r="V38" i="17"/>
  <c r="B39" i="17"/>
  <c r="C39" i="17"/>
  <c r="D39" i="17"/>
  <c r="V39" i="17"/>
  <c r="B40" i="17"/>
  <c r="C40" i="17"/>
  <c r="D40" i="17"/>
  <c r="V40" i="17"/>
  <c r="B41" i="17"/>
  <c r="C41" i="17"/>
  <c r="D41" i="17"/>
  <c r="V41" i="17"/>
  <c r="B42" i="17"/>
  <c r="C42" i="17"/>
  <c r="D42" i="17"/>
  <c r="V42" i="17"/>
  <c r="B43" i="17"/>
  <c r="C43" i="17"/>
  <c r="D43" i="17"/>
  <c r="V43" i="17"/>
  <c r="B44" i="17"/>
  <c r="C44" i="17"/>
  <c r="D44" i="17"/>
  <c r="V44" i="17"/>
  <c r="B45" i="17"/>
  <c r="C45" i="17"/>
  <c r="D45" i="17"/>
  <c r="V45" i="17"/>
  <c r="B46" i="17"/>
  <c r="C46" i="17"/>
  <c r="D46" i="17"/>
  <c r="B47" i="17"/>
  <c r="V47" i="17" s="1"/>
  <c r="C47" i="17"/>
  <c r="D47" i="17"/>
  <c r="B52" i="17"/>
  <c r="C52" i="17"/>
  <c r="D52" i="17"/>
  <c r="B53" i="17"/>
  <c r="C53" i="17"/>
  <c r="D53" i="17"/>
  <c r="B54" i="17"/>
  <c r="C54" i="17"/>
  <c r="D54" i="17"/>
  <c r="B55" i="17"/>
  <c r="C55" i="17"/>
  <c r="D55" i="17"/>
  <c r="B56" i="17"/>
  <c r="C56" i="17"/>
  <c r="D56" i="17"/>
  <c r="B57" i="17"/>
  <c r="C57" i="17"/>
  <c r="D57" i="17"/>
  <c r="B58" i="17"/>
  <c r="C58" i="17"/>
  <c r="D58" i="17"/>
  <c r="B59" i="17"/>
  <c r="C59" i="17"/>
  <c r="D59" i="17"/>
  <c r="B60" i="17"/>
  <c r="C60" i="17"/>
  <c r="D60" i="17"/>
  <c r="B61" i="17"/>
  <c r="C61" i="17"/>
  <c r="D61" i="17"/>
  <c r="B62" i="17"/>
  <c r="C62" i="17"/>
  <c r="D62" i="17"/>
  <c r="B63" i="17"/>
  <c r="C63" i="17"/>
  <c r="D63" i="17"/>
  <c r="B64" i="17"/>
  <c r="C64" i="17"/>
  <c r="D64" i="17"/>
  <c r="B65" i="17"/>
  <c r="C65" i="17"/>
  <c r="D65" i="17"/>
  <c r="B66" i="17"/>
  <c r="C66" i="17"/>
  <c r="D66" i="17"/>
  <c r="B67" i="17"/>
  <c r="C67" i="17"/>
  <c r="D67" i="17"/>
  <c r="B68" i="17"/>
  <c r="C68" i="17"/>
  <c r="D68" i="17"/>
  <c r="B69" i="17"/>
  <c r="C69" i="17"/>
  <c r="D69" i="17"/>
  <c r="B70" i="17"/>
  <c r="C70" i="17"/>
  <c r="D70" i="17"/>
  <c r="B71" i="17"/>
  <c r="C71" i="17"/>
  <c r="D71" i="17"/>
  <c r="B72" i="17"/>
  <c r="C72" i="17"/>
  <c r="D72" i="17"/>
  <c r="B73" i="17"/>
  <c r="C73" i="17"/>
  <c r="D73" i="17"/>
  <c r="B74" i="17"/>
  <c r="C74" i="17"/>
  <c r="D74" i="17"/>
  <c r="B75" i="17"/>
  <c r="C75" i="17"/>
  <c r="D75" i="17"/>
  <c r="B76" i="17"/>
  <c r="C76" i="17"/>
  <c r="D76" i="17"/>
  <c r="B77" i="17"/>
  <c r="C77" i="17"/>
  <c r="D77" i="17"/>
  <c r="B78" i="17"/>
  <c r="C78" i="17"/>
  <c r="D78" i="17"/>
  <c r="B79" i="17"/>
  <c r="C79" i="17"/>
  <c r="D79" i="17"/>
  <c r="B80" i="17"/>
  <c r="C80" i="17"/>
  <c r="D80" i="17"/>
  <c r="B81" i="17"/>
  <c r="C81" i="17"/>
  <c r="D81" i="17"/>
  <c r="B82" i="17"/>
  <c r="C82" i="17"/>
  <c r="D82" i="17"/>
  <c r="B83" i="17"/>
  <c r="C83" i="17"/>
  <c r="D83" i="17"/>
  <c r="B84" i="17"/>
  <c r="C84" i="17"/>
  <c r="D84" i="17"/>
  <c r="B85" i="17"/>
  <c r="C85" i="17"/>
  <c r="D85" i="17"/>
  <c r="B86" i="17"/>
  <c r="C86" i="17"/>
  <c r="D86" i="17"/>
  <c r="B87" i="17"/>
  <c r="C87" i="17"/>
  <c r="D87" i="17"/>
  <c r="B88" i="17"/>
  <c r="C88" i="17"/>
  <c r="D88" i="17"/>
  <c r="B89" i="17"/>
  <c r="C89" i="17"/>
  <c r="D89" i="17"/>
  <c r="B90" i="17"/>
  <c r="C90" i="17"/>
  <c r="D90" i="17"/>
  <c r="B91" i="17"/>
  <c r="C91" i="17"/>
  <c r="D91" i="17"/>
  <c r="B92" i="17"/>
  <c r="C92" i="17"/>
  <c r="D92" i="17"/>
  <c r="B93" i="17"/>
  <c r="C93" i="17"/>
  <c r="D93" i="17"/>
  <c r="B94" i="17"/>
  <c r="C94" i="17"/>
  <c r="D94" i="17"/>
  <c r="B95" i="17"/>
  <c r="C95" i="17"/>
  <c r="D95" i="17"/>
  <c r="B96" i="17"/>
  <c r="C96" i="17"/>
  <c r="D96" i="17"/>
  <c r="B97" i="17"/>
  <c r="C97" i="17"/>
  <c r="D97" i="17"/>
  <c r="B98" i="17"/>
  <c r="C98" i="17"/>
  <c r="D98" i="17"/>
  <c r="B99" i="17"/>
  <c r="C99" i="17"/>
  <c r="D99" i="17"/>
  <c r="B100" i="17"/>
  <c r="C100" i="17"/>
  <c r="D100" i="17"/>
  <c r="B101" i="17"/>
  <c r="C101" i="17"/>
  <c r="D101" i="17"/>
  <c r="B102" i="17"/>
  <c r="C102" i="17"/>
  <c r="D102" i="17"/>
  <c r="B103" i="17"/>
  <c r="C103" i="17"/>
  <c r="D103" i="17"/>
  <c r="B104" i="17"/>
  <c r="C104" i="17"/>
  <c r="D104" i="17"/>
  <c r="B105" i="17"/>
  <c r="C105" i="17"/>
  <c r="D105" i="17"/>
  <c r="B106" i="17"/>
  <c r="C106" i="17"/>
  <c r="D106" i="17"/>
  <c r="B107" i="17"/>
  <c r="C107" i="17"/>
  <c r="D107" i="17"/>
  <c r="B108" i="17"/>
  <c r="C108" i="17"/>
  <c r="D108" i="17"/>
  <c r="B109" i="17"/>
  <c r="C109" i="17"/>
  <c r="D109" i="17"/>
  <c r="B110" i="17"/>
  <c r="C110" i="17"/>
  <c r="D110" i="17"/>
  <c r="B111" i="17"/>
  <c r="C111" i="17"/>
  <c r="D111" i="17"/>
  <c r="B112" i="17"/>
  <c r="C112" i="17"/>
  <c r="D112" i="17"/>
  <c r="C121" i="17"/>
  <c r="D121" i="17"/>
  <c r="G121" i="17"/>
  <c r="I121" i="17"/>
  <c r="K121" i="17"/>
  <c r="C122" i="17"/>
  <c r="D122" i="17"/>
  <c r="G122" i="17"/>
  <c r="I122" i="17"/>
  <c r="K122" i="17"/>
  <c r="C123" i="17"/>
  <c r="D123" i="17"/>
  <c r="G123" i="17"/>
  <c r="I123" i="17"/>
  <c r="K123" i="17"/>
  <c r="C124" i="17"/>
  <c r="D124" i="17"/>
  <c r="G124" i="17"/>
  <c r="I124" i="17"/>
  <c r="K124"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D847" i="17"/>
  <c r="D848" i="17"/>
  <c r="D849" i="17"/>
  <c r="D850" i="17"/>
  <c r="D851" i="17"/>
  <c r="D852" i="17"/>
  <c r="D853" i="17"/>
  <c r="D854" i="17"/>
  <c r="D855" i="17"/>
  <c r="D856" i="17"/>
  <c r="D857" i="17"/>
  <c r="D858" i="17"/>
  <c r="D859" i="17"/>
  <c r="D860" i="17"/>
  <c r="D861" i="17"/>
  <c r="D862" i="17"/>
  <c r="D863" i="17"/>
  <c r="D864" i="17"/>
  <c r="D866"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7" i="17"/>
  <c r="D898" i="17"/>
  <c r="D899" i="17"/>
  <c r="D900" i="17"/>
  <c r="D901" i="17"/>
  <c r="D902" i="17"/>
  <c r="D903" i="17"/>
  <c r="D904" i="17"/>
  <c r="D906" i="17"/>
  <c r="D907" i="17"/>
  <c r="D908" i="17"/>
  <c r="D909" i="17"/>
  <c r="D910" i="17"/>
  <c r="D911" i="17"/>
  <c r="D912" i="17"/>
  <c r="D913" i="17"/>
  <c r="D914" i="17"/>
  <c r="D915" i="17"/>
  <c r="D916" i="17"/>
  <c r="D917" i="17"/>
  <c r="F919" i="17"/>
  <c r="G919" i="17"/>
  <c r="F920" i="17"/>
  <c r="G920" i="17"/>
  <c r="F921" i="17"/>
  <c r="G921" i="17"/>
  <c r="F922" i="17"/>
  <c r="G922" i="17"/>
  <c r="F923" i="17"/>
  <c r="G923" i="17"/>
  <c r="F924" i="17"/>
  <c r="G924" i="17"/>
  <c r="F925" i="17"/>
  <c r="G925" i="17"/>
  <c r="F926" i="17"/>
  <c r="G926" i="17"/>
  <c r="F927" i="17"/>
  <c r="G927" i="17"/>
  <c r="F928" i="17"/>
  <c r="G928" i="17"/>
  <c r="F929" i="17"/>
  <c r="G929" i="17"/>
  <c r="F930" i="17"/>
  <c r="G930" i="17"/>
  <c r="F931" i="17"/>
  <c r="G931" i="17"/>
  <c r="F932" i="17"/>
  <c r="G932" i="17"/>
  <c r="F933" i="17"/>
  <c r="G933" i="17"/>
  <c r="F934" i="17"/>
  <c r="G934" i="17"/>
  <c r="F935" i="17"/>
  <c r="G935" i="17"/>
  <c r="F936" i="17"/>
  <c r="G936" i="17"/>
  <c r="F937" i="17"/>
  <c r="G937" i="17"/>
  <c r="F938" i="17"/>
  <c r="G938" i="17"/>
  <c r="F939" i="17"/>
  <c r="G939" i="17"/>
  <c r="F940" i="17"/>
  <c r="G940" i="17"/>
  <c r="F941" i="17"/>
  <c r="G941" i="17"/>
  <c r="F942" i="17"/>
  <c r="G942" i="17"/>
  <c r="D948" i="17"/>
  <c r="E948" i="17"/>
  <c r="F948" i="17"/>
  <c r="G948" i="17"/>
  <c r="H948" i="17"/>
  <c r="I948" i="17"/>
  <c r="D949" i="17"/>
  <c r="E949" i="17"/>
  <c r="F949" i="17"/>
  <c r="G949" i="17"/>
  <c r="H949" i="17"/>
  <c r="I949" i="17"/>
  <c r="D950" i="17"/>
  <c r="E950" i="17"/>
  <c r="F950" i="17"/>
  <c r="G950" i="17"/>
  <c r="H950" i="17"/>
  <c r="I950" i="17"/>
  <c r="D951" i="17"/>
  <c r="E951" i="17"/>
  <c r="F951" i="17"/>
  <c r="G951" i="17"/>
  <c r="H951" i="17"/>
  <c r="I951" i="17"/>
  <c r="D952" i="17"/>
  <c r="E952" i="17"/>
  <c r="F952" i="17"/>
  <c r="G952" i="17"/>
  <c r="H952" i="17"/>
  <c r="I952" i="17"/>
  <c r="D953" i="17"/>
  <c r="E953" i="17"/>
  <c r="F953" i="17"/>
  <c r="G953" i="17"/>
  <c r="H953" i="17"/>
  <c r="I953" i="17"/>
  <c r="D954" i="17"/>
  <c r="E954" i="17"/>
  <c r="F954" i="17"/>
  <c r="G954" i="17"/>
  <c r="H954" i="17"/>
  <c r="I954" i="17"/>
  <c r="D955" i="17"/>
  <c r="E955" i="17"/>
  <c r="F955" i="17"/>
  <c r="G955" i="17"/>
  <c r="H955" i="17"/>
  <c r="I955" i="17"/>
  <c r="D956" i="17"/>
  <c r="E956" i="17"/>
  <c r="F956" i="17"/>
  <c r="G956" i="17"/>
  <c r="H956" i="17"/>
  <c r="I956" i="17"/>
  <c r="D957" i="17"/>
  <c r="E957" i="17"/>
  <c r="F957" i="17"/>
  <c r="G957" i="17"/>
  <c r="H957" i="17"/>
  <c r="I957" i="17"/>
  <c r="D958" i="17"/>
  <c r="E958" i="17"/>
  <c r="F958" i="17"/>
  <c r="G958" i="17"/>
  <c r="H958" i="17"/>
  <c r="I958" i="17"/>
  <c r="D959" i="17"/>
  <c r="E959" i="17"/>
  <c r="F959" i="17"/>
  <c r="G959" i="17"/>
  <c r="H959" i="17"/>
  <c r="I959" i="17"/>
  <c r="D960" i="17"/>
  <c r="E960" i="17"/>
  <c r="F960" i="17"/>
  <c r="G960" i="17"/>
  <c r="H960" i="17"/>
  <c r="I960" i="17"/>
  <c r="D961" i="17"/>
  <c r="E961" i="17"/>
  <c r="F961" i="17"/>
  <c r="G961" i="17"/>
  <c r="H961" i="17"/>
  <c r="I961" i="17"/>
  <c r="D962" i="17"/>
  <c r="E962" i="17"/>
  <c r="F963" i="17"/>
  <c r="E963" i="17" s="1"/>
  <c r="AS164" i="6" s="1"/>
  <c r="AY164" i="6" s="1"/>
  <c r="G963" i="17"/>
  <c r="H963" i="17"/>
  <c r="I963" i="17"/>
  <c r="E964" i="17"/>
  <c r="F964" i="17"/>
  <c r="G964" i="17"/>
  <c r="H964" i="17"/>
  <c r="I964" i="17"/>
  <c r="E965" i="17"/>
  <c r="AT61" i="6" s="1"/>
  <c r="F965" i="17"/>
  <c r="G965" i="17"/>
  <c r="H965" i="17"/>
  <c r="I965" i="17"/>
  <c r="E966" i="17"/>
  <c r="F966" i="17"/>
  <c r="G966" i="17"/>
  <c r="H966" i="17"/>
  <c r="I966" i="17"/>
  <c r="F967" i="17"/>
  <c r="E967" i="17" s="1"/>
  <c r="G967" i="17"/>
  <c r="H967" i="17"/>
  <c r="I967" i="17"/>
  <c r="E968" i="17"/>
  <c r="F968" i="17"/>
  <c r="G968" i="17"/>
  <c r="H968" i="17"/>
  <c r="I968" i="17"/>
  <c r="F969" i="17"/>
  <c r="E969" i="17" s="1"/>
  <c r="G969" i="17"/>
  <c r="H969" i="17"/>
  <c r="I969" i="17"/>
  <c r="B2" i="6"/>
  <c r="B9" i="6"/>
  <c r="B13" i="6"/>
  <c r="AB14" i="6"/>
  <c r="B15" i="6"/>
  <c r="B16" i="6"/>
  <c r="B17" i="6"/>
  <c r="B18" i="6"/>
  <c r="C20" i="6"/>
  <c r="BD22" i="6"/>
  <c r="AA23" i="6"/>
  <c r="AF24" i="6"/>
  <c r="AF25" i="6" s="1"/>
  <c r="AJ25" i="6"/>
  <c r="AA26" i="6"/>
  <c r="AP26" i="6"/>
  <c r="AR26" i="6"/>
  <c r="AG25" i="6" s="1"/>
  <c r="AS27" i="6"/>
  <c r="AU27" i="6" s="1"/>
  <c r="AA28" i="6"/>
  <c r="AS28" i="6"/>
  <c r="AT28" i="6" s="1"/>
  <c r="AS30" i="6"/>
  <c r="AT30" i="6" s="1"/>
  <c r="AS31" i="6"/>
  <c r="AT31" i="6" s="1"/>
  <c r="AS32" i="6"/>
  <c r="AT32" i="6" s="1"/>
  <c r="AT33" i="6"/>
  <c r="AT34" i="6"/>
  <c r="AT35" i="6"/>
  <c r="Y36" i="6"/>
  <c r="AA36" i="6"/>
  <c r="AT36" i="6"/>
  <c r="AB37" i="6"/>
  <c r="AK37" i="6"/>
  <c r="AO42" i="6"/>
  <c r="AO43" i="6"/>
  <c r="D44" i="6"/>
  <c r="W44" i="6"/>
  <c r="AA44" i="6"/>
  <c r="AO44" i="6"/>
  <c r="AO45" i="6"/>
  <c r="AG46" i="6"/>
  <c r="AO46" i="6"/>
  <c r="AA47" i="6"/>
  <c r="AG47" i="6"/>
  <c r="AO47" i="6"/>
  <c r="AG48" i="6"/>
  <c r="AJ48" i="6"/>
  <c r="AO48" i="6"/>
  <c r="AO49" i="6"/>
  <c r="AS49" i="6"/>
  <c r="Z50" i="6"/>
  <c r="AO50" i="6"/>
  <c r="AS50" i="6"/>
  <c r="AO51" i="6"/>
  <c r="AS51" i="6"/>
  <c r="I52" i="6"/>
  <c r="Z52" i="6"/>
  <c r="AO52" i="6"/>
  <c r="AS52" i="6"/>
  <c r="Z53" i="6"/>
  <c r="AL54" i="6"/>
  <c r="Z55" i="6"/>
  <c r="AL55" i="6"/>
  <c r="AS55" i="6" s="1"/>
  <c r="AY55" i="6" s="1"/>
  <c r="AL56" i="6"/>
  <c r="Z57" i="6"/>
  <c r="AL57" i="6"/>
  <c r="AL58" i="6"/>
  <c r="AL59" i="6"/>
  <c r="AS59" i="6" s="1"/>
  <c r="AM59" i="6"/>
  <c r="AT59" i="6" s="1"/>
  <c r="AL60" i="6"/>
  <c r="AM60" i="6"/>
  <c r="AS60" i="6"/>
  <c r="AL61" i="6"/>
  <c r="AS61" i="6" s="1"/>
  <c r="AM61" i="6"/>
  <c r="AL62" i="6"/>
  <c r="AS62" i="6" s="1"/>
  <c r="AM62" i="6"/>
  <c r="AT62" i="6" s="1"/>
  <c r="BD76" i="6"/>
  <c r="AA77" i="6"/>
  <c r="AF78" i="6"/>
  <c r="AJ79" i="6"/>
  <c r="AA80" i="6"/>
  <c r="AA82" i="6"/>
  <c r="AT87" i="6"/>
  <c r="AT88" i="6"/>
  <c r="AT89" i="6"/>
  <c r="Y90" i="6"/>
  <c r="AA90" i="6"/>
  <c r="AT90" i="6"/>
  <c r="AK91" i="6"/>
  <c r="AO96" i="6"/>
  <c r="AO97" i="6"/>
  <c r="D98" i="6"/>
  <c r="W98" i="6"/>
  <c r="AA98" i="6"/>
  <c r="AO98" i="6"/>
  <c r="AO99" i="6"/>
  <c r="AG100" i="6"/>
  <c r="AO100" i="6"/>
  <c r="AA101" i="6"/>
  <c r="AG101" i="6"/>
  <c r="AO101" i="6"/>
  <c r="AG102" i="6"/>
  <c r="AJ102" i="6"/>
  <c r="AO102" i="6"/>
  <c r="AO103" i="6"/>
  <c r="AS103" i="6"/>
  <c r="Z104" i="6"/>
  <c r="AO104" i="6"/>
  <c r="AS104" i="6"/>
  <c r="AO105" i="6"/>
  <c r="AS105" i="6"/>
  <c r="I106" i="6"/>
  <c r="Z106" i="6"/>
  <c r="AO106" i="6"/>
  <c r="AS106" i="6"/>
  <c r="Z107" i="6"/>
  <c r="AL108" i="6"/>
  <c r="Z109" i="6"/>
  <c r="AL109" i="6"/>
  <c r="AL110" i="6"/>
  <c r="Z111" i="6"/>
  <c r="AL111" i="6"/>
  <c r="AL112" i="6"/>
  <c r="AS112" i="6" s="1"/>
  <c r="AY112" i="6" s="1"/>
  <c r="AL113" i="6"/>
  <c r="AM113" i="6"/>
  <c r="AT113" i="6" s="1"/>
  <c r="AL114" i="6"/>
  <c r="AM114" i="6"/>
  <c r="AT114" i="6"/>
  <c r="AL115" i="6"/>
  <c r="AS115" i="6" s="1"/>
  <c r="AM115" i="6"/>
  <c r="AT115" i="6" s="1"/>
  <c r="AL116" i="6"/>
  <c r="AM116" i="6"/>
  <c r="AT116" i="6" s="1"/>
  <c r="BD130" i="6"/>
  <c r="AA131" i="6"/>
  <c r="AF132" i="6"/>
  <c r="AJ133" i="6"/>
  <c r="AA134" i="6"/>
  <c r="AA136" i="6"/>
  <c r="AT141" i="6"/>
  <c r="AT142" i="6"/>
  <c r="AT143" i="6"/>
  <c r="Y144" i="6"/>
  <c r="AA144" i="6"/>
  <c r="AT144" i="6"/>
  <c r="AK145" i="6"/>
  <c r="AO150" i="6"/>
  <c r="AO151" i="6"/>
  <c r="D152" i="6"/>
  <c r="W152" i="6"/>
  <c r="AA152" i="6"/>
  <c r="AO152" i="6"/>
  <c r="AO153" i="6"/>
  <c r="AG154" i="6"/>
  <c r="AO154" i="6"/>
  <c r="AA155" i="6"/>
  <c r="AG155" i="6"/>
  <c r="AO155" i="6"/>
  <c r="AG156" i="6"/>
  <c r="AJ156" i="6"/>
  <c r="AO156" i="6"/>
  <c r="AO157" i="6"/>
  <c r="AS157" i="6"/>
  <c r="Z158" i="6"/>
  <c r="AO158" i="6"/>
  <c r="AS158" i="6"/>
  <c r="AO159" i="6"/>
  <c r="AS159" i="6"/>
  <c r="I160" i="6"/>
  <c r="Z160" i="6"/>
  <c r="AO160" i="6"/>
  <c r="AS160" i="6"/>
  <c r="Z161" i="6"/>
  <c r="AL162" i="6"/>
  <c r="AS162" i="6" s="1"/>
  <c r="Z163" i="6"/>
  <c r="AL163" i="6"/>
  <c r="AL164" i="6"/>
  <c r="Z165" i="6"/>
  <c r="AL165" i="6"/>
  <c r="AL166" i="6"/>
  <c r="AS166" i="6" s="1"/>
  <c r="AL167" i="6"/>
  <c r="AS167" i="6" s="1"/>
  <c r="AM167" i="6"/>
  <c r="AL168" i="6"/>
  <c r="AS168" i="6" s="1"/>
  <c r="AM168" i="6"/>
  <c r="AT168" i="6" s="1"/>
  <c r="AL169" i="6"/>
  <c r="AS169" i="6" s="1"/>
  <c r="AM169" i="6"/>
  <c r="AT169" i="6" s="1"/>
  <c r="AL170" i="6"/>
  <c r="AS170" i="6" s="1"/>
  <c r="AM170" i="6"/>
  <c r="AT170" i="6" s="1"/>
  <c r="C182" i="6"/>
  <c r="BD184" i="6"/>
  <c r="AA185" i="6"/>
  <c r="AF186" i="6"/>
  <c r="AI188" i="6" s="1"/>
  <c r="AJ187" i="6"/>
  <c r="AA188" i="6"/>
  <c r="AA190" i="6"/>
  <c r="AT195" i="6"/>
  <c r="AT196" i="6"/>
  <c r="AT197" i="6"/>
  <c r="Y198" i="6"/>
  <c r="AA198" i="6"/>
  <c r="AT198" i="6"/>
  <c r="AB199" i="6"/>
  <c r="AK199" i="6"/>
  <c r="AO204" i="6"/>
  <c r="AO205" i="6"/>
  <c r="D206" i="6"/>
  <c r="W206" i="6"/>
  <c r="AA206" i="6"/>
  <c r="AO206" i="6"/>
  <c r="AO207" i="6"/>
  <c r="AG208" i="6"/>
  <c r="AO208" i="6"/>
  <c r="AA209" i="6"/>
  <c r="AG209" i="6"/>
  <c r="AO209" i="6"/>
  <c r="AG210" i="6"/>
  <c r="AJ210" i="6"/>
  <c r="AO210" i="6"/>
  <c r="AO211" i="6"/>
  <c r="AS211" i="6"/>
  <c r="Z212" i="6"/>
  <c r="AO212" i="6"/>
  <c r="AS212" i="6"/>
  <c r="AO213" i="6"/>
  <c r="AS213" i="6"/>
  <c r="I214" i="6"/>
  <c r="Z214" i="6"/>
  <c r="AO214" i="6"/>
  <c r="AS214" i="6"/>
  <c r="Z215" i="6"/>
  <c r="AL216" i="6"/>
  <c r="AS216" i="6"/>
  <c r="AY216" i="6" s="1"/>
  <c r="Z217" i="6"/>
  <c r="AL217" i="6"/>
  <c r="AL218" i="6"/>
  <c r="Z219" i="6"/>
  <c r="AL219" i="6"/>
  <c r="AL220" i="6"/>
  <c r="AL221" i="6"/>
  <c r="AS221" i="6" s="1"/>
  <c r="AM221" i="6"/>
  <c r="AT221" i="6" s="1"/>
  <c r="AL222" i="6"/>
  <c r="AM222" i="6"/>
  <c r="AT222" i="6"/>
  <c r="AL223" i="6"/>
  <c r="AM223" i="6"/>
  <c r="AL224" i="6"/>
  <c r="AS224" i="6" s="1"/>
  <c r="AM224" i="6"/>
  <c r="AT224" i="6" s="1"/>
  <c r="C236" i="6"/>
  <c r="BD238" i="6"/>
  <c r="AA239" i="6"/>
  <c r="AF240" i="6"/>
  <c r="AF243" i="6" s="1"/>
  <c r="AJ241" i="6"/>
  <c r="AA242" i="6"/>
  <c r="AA244" i="6"/>
  <c r="AT249" i="6"/>
  <c r="AT250" i="6"/>
  <c r="AT251" i="6"/>
  <c r="Y252" i="6"/>
  <c r="AA252" i="6"/>
  <c r="AT252" i="6"/>
  <c r="AB253" i="6"/>
  <c r="AK253" i="6"/>
  <c r="AO258" i="6"/>
  <c r="AO259" i="6"/>
  <c r="D260" i="6"/>
  <c r="W260" i="6"/>
  <c r="AA260" i="6"/>
  <c r="AO260" i="6"/>
  <c r="AO261" i="6"/>
  <c r="AG262" i="6"/>
  <c r="AO262" i="6"/>
  <c r="AA263" i="6"/>
  <c r="AG263" i="6"/>
  <c r="AO263" i="6"/>
  <c r="AG264" i="6"/>
  <c r="AJ264" i="6"/>
  <c r="AO264" i="6"/>
  <c r="AO265" i="6"/>
  <c r="AS265" i="6"/>
  <c r="Z266" i="6"/>
  <c r="AO266" i="6"/>
  <c r="AS266" i="6"/>
  <c r="AO267" i="6"/>
  <c r="AS267" i="6"/>
  <c r="I268" i="6"/>
  <c r="Z268" i="6"/>
  <c r="AO268" i="6"/>
  <c r="AS268" i="6"/>
  <c r="Z269" i="6"/>
  <c r="AL270" i="6"/>
  <c r="AS270" i="6"/>
  <c r="Z271" i="6"/>
  <c r="AL271" i="6"/>
  <c r="AS271" i="6" s="1"/>
  <c r="AL272" i="6"/>
  <c r="Z273" i="6"/>
  <c r="AL273" i="6"/>
  <c r="AS273" i="6" s="1"/>
  <c r="AL274" i="6"/>
  <c r="AL275" i="6"/>
  <c r="AS275" i="6" s="1"/>
  <c r="AM275" i="6"/>
  <c r="AT275" i="6" s="1"/>
  <c r="AL276" i="6"/>
  <c r="AM276" i="6"/>
  <c r="AT276" i="6"/>
  <c r="AL277" i="6"/>
  <c r="AM277" i="6"/>
  <c r="AL278" i="6"/>
  <c r="AS278" i="6" s="1"/>
  <c r="AM278" i="6"/>
  <c r="AT278" i="6" s="1"/>
  <c r="C290" i="6"/>
  <c r="BD292" i="6"/>
  <c r="AA293" i="6"/>
  <c r="AF294" i="6"/>
  <c r="AI296" i="6" s="1"/>
  <c r="AJ295" i="6"/>
  <c r="AA296" i="6"/>
  <c r="AA298" i="6"/>
  <c r="AT303" i="6"/>
  <c r="AT304" i="6"/>
  <c r="AT305" i="6"/>
  <c r="Y306" i="6"/>
  <c r="AA306" i="6"/>
  <c r="AT306" i="6"/>
  <c r="AK307" i="6"/>
  <c r="AI311" i="6"/>
  <c r="AO312" i="6"/>
  <c r="AO313" i="6"/>
  <c r="D314" i="6"/>
  <c r="W314" i="6"/>
  <c r="AA314" i="6"/>
  <c r="AO314" i="6"/>
  <c r="AO315" i="6"/>
  <c r="AG316" i="6"/>
  <c r="AO316" i="6"/>
  <c r="AA317" i="6"/>
  <c r="AG317" i="6"/>
  <c r="AO317" i="6"/>
  <c r="AG318" i="6"/>
  <c r="AJ318" i="6"/>
  <c r="AO318" i="6"/>
  <c r="AO319" i="6"/>
  <c r="AS319" i="6"/>
  <c r="Z320" i="6"/>
  <c r="AO320" i="6"/>
  <c r="AS320" i="6"/>
  <c r="AO321" i="6"/>
  <c r="AS321" i="6"/>
  <c r="I322" i="6"/>
  <c r="Z322" i="6"/>
  <c r="AO322" i="6"/>
  <c r="AS322" i="6"/>
  <c r="Z323" i="6"/>
  <c r="AL324" i="6"/>
  <c r="Z325" i="6"/>
  <c r="AL325" i="6"/>
  <c r="AL326" i="6"/>
  <c r="Z327" i="6"/>
  <c r="AL327" i="6"/>
  <c r="AL328" i="6"/>
  <c r="B329" i="6"/>
  <c r="AL329" i="6"/>
  <c r="AS329" i="6" s="1"/>
  <c r="AM329" i="6"/>
  <c r="AT329" i="6" s="1"/>
  <c r="AL330" i="6"/>
  <c r="AM330" i="6"/>
  <c r="AT330" i="6" s="1"/>
  <c r="AL331" i="6"/>
  <c r="AS331" i="6" s="1"/>
  <c r="AM331" i="6"/>
  <c r="AT331" i="6"/>
  <c r="AL332" i="6"/>
  <c r="AS332" i="6" s="1"/>
  <c r="AM332" i="6"/>
  <c r="AT332" i="6"/>
  <c r="B347" i="6"/>
  <c r="AC269" i="6"/>
  <c r="J347" i="6"/>
  <c r="B348" i="6"/>
  <c r="F348" i="6"/>
  <c r="G348" i="6"/>
  <c r="H348" i="6"/>
  <c r="J348" i="6"/>
  <c r="AH252" i="6"/>
  <c r="B349" i="6"/>
  <c r="D349" i="6"/>
  <c r="F349" i="6"/>
  <c r="G349" i="6"/>
  <c r="H349" i="6"/>
  <c r="B350" i="6"/>
  <c r="C350" i="6" s="1"/>
  <c r="F350" i="6"/>
  <c r="G350" i="6"/>
  <c r="H350" i="6"/>
  <c r="J350" i="6"/>
  <c r="F351" i="6"/>
  <c r="G351" i="6"/>
  <c r="H351" i="6"/>
  <c r="J351" i="6"/>
  <c r="B352" i="6"/>
  <c r="F352" i="6"/>
  <c r="G352" i="6"/>
  <c r="H352" i="6"/>
  <c r="J352" i="6"/>
  <c r="AJ194" i="6"/>
  <c r="AK194" i="6" s="1"/>
  <c r="B353" i="6"/>
  <c r="C353" i="6" s="1"/>
  <c r="F353" i="6"/>
  <c r="G353" i="6"/>
  <c r="H353" i="6"/>
  <c r="J353" i="6"/>
  <c r="B354" i="6"/>
  <c r="D354" i="6" s="1"/>
  <c r="F354" i="6"/>
  <c r="G354" i="6"/>
  <c r="H354" i="6"/>
  <c r="F355" i="6"/>
  <c r="G355" i="6"/>
  <c r="H355" i="6"/>
  <c r="F356" i="6"/>
  <c r="G356" i="6"/>
  <c r="H356" i="6"/>
  <c r="B357" i="6"/>
  <c r="E357" i="6"/>
  <c r="F357" i="6"/>
  <c r="G357" i="6"/>
  <c r="H357" i="6"/>
  <c r="B358" i="6"/>
  <c r="F358" i="6"/>
  <c r="G358" i="6"/>
  <c r="H358" i="6"/>
  <c r="F359" i="6"/>
  <c r="G359" i="6"/>
  <c r="H359" i="6"/>
  <c r="J359" i="6"/>
  <c r="B360" i="6"/>
  <c r="F360" i="6"/>
  <c r="G360" i="6"/>
  <c r="H360" i="6"/>
  <c r="J360" i="6"/>
  <c r="B361" i="6"/>
  <c r="C361" i="6" s="1"/>
  <c r="F361" i="6"/>
  <c r="G361" i="6"/>
  <c r="H361" i="6"/>
  <c r="J361" i="6"/>
  <c r="B362" i="6"/>
  <c r="F362" i="6"/>
  <c r="G362" i="6"/>
  <c r="H362" i="6"/>
  <c r="F363" i="6"/>
  <c r="G363" i="6"/>
  <c r="H363" i="6"/>
  <c r="J363" i="6"/>
  <c r="B364" i="6"/>
  <c r="D364" i="6" s="1"/>
  <c r="F364" i="6"/>
  <c r="G364" i="6"/>
  <c r="H364" i="6"/>
  <c r="B365" i="6"/>
  <c r="E365" i="6" s="1"/>
  <c r="F365" i="6"/>
  <c r="G365" i="6"/>
  <c r="H365" i="6"/>
  <c r="J365" i="6"/>
  <c r="B366" i="6"/>
  <c r="C366" i="6" s="1"/>
  <c r="F366" i="6"/>
  <c r="G366" i="6"/>
  <c r="H366" i="6"/>
  <c r="J366" i="6"/>
  <c r="F367" i="6"/>
  <c r="G367" i="6"/>
  <c r="H367" i="6"/>
  <c r="J367" i="6"/>
  <c r="B368" i="6"/>
  <c r="F368" i="6"/>
  <c r="G368" i="6"/>
  <c r="H368" i="6"/>
  <c r="J368" i="6"/>
  <c r="B369" i="6"/>
  <c r="C369" i="6" s="1"/>
  <c r="F369" i="6"/>
  <c r="G369" i="6"/>
  <c r="H369" i="6"/>
  <c r="J369" i="6"/>
  <c r="B370" i="6"/>
  <c r="F370" i="6"/>
  <c r="G370" i="6"/>
  <c r="H370" i="6"/>
  <c r="J370" i="6"/>
  <c r="F371" i="6"/>
  <c r="G371" i="6"/>
  <c r="H371" i="6"/>
  <c r="J371" i="6"/>
  <c r="B372" i="6"/>
  <c r="AF29" i="6" s="1"/>
  <c r="F372" i="6"/>
  <c r="G372" i="6"/>
  <c r="H372" i="6"/>
  <c r="J372" i="6"/>
  <c r="B373" i="6"/>
  <c r="C373" i="6"/>
  <c r="F373" i="6"/>
  <c r="G373" i="6"/>
  <c r="H373" i="6"/>
  <c r="F374" i="6"/>
  <c r="G374" i="6"/>
  <c r="H374" i="6"/>
  <c r="F375" i="6"/>
  <c r="G375" i="6"/>
  <c r="H375" i="6"/>
  <c r="J375" i="6"/>
  <c r="B376" i="6"/>
  <c r="F376" i="6"/>
  <c r="G376" i="6"/>
  <c r="H376" i="6"/>
  <c r="J376" i="6"/>
  <c r="B377" i="6"/>
  <c r="E377" i="6" s="1"/>
  <c r="F377" i="6"/>
  <c r="G377" i="6"/>
  <c r="H377" i="6"/>
  <c r="J377" i="6"/>
  <c r="B378" i="6"/>
  <c r="F378" i="6"/>
  <c r="G378" i="6"/>
  <c r="H378" i="6"/>
  <c r="J378" i="6"/>
  <c r="F379" i="6"/>
  <c r="G379" i="6"/>
  <c r="H379" i="6"/>
  <c r="B380" i="6"/>
  <c r="C380" i="6" s="1"/>
  <c r="E380" i="6"/>
  <c r="F380" i="6"/>
  <c r="G380" i="6"/>
  <c r="H380" i="6"/>
  <c r="F381" i="6"/>
  <c r="G381" i="6"/>
  <c r="H381" i="6"/>
  <c r="J381" i="6"/>
  <c r="B382" i="6"/>
  <c r="D382" i="6" s="1"/>
  <c r="F382" i="6"/>
  <c r="G382" i="6"/>
  <c r="H382" i="6"/>
  <c r="J382" i="6"/>
  <c r="F383" i="6"/>
  <c r="G383" i="6"/>
  <c r="H383" i="6"/>
  <c r="J383" i="6"/>
  <c r="B384" i="6"/>
  <c r="C384" i="6" s="1"/>
  <c r="F384" i="6"/>
  <c r="G384" i="6"/>
  <c r="H384" i="6"/>
  <c r="B385" i="6"/>
  <c r="C385" i="6" s="1"/>
  <c r="F385" i="6"/>
  <c r="G385" i="6"/>
  <c r="H385" i="6"/>
  <c r="J385" i="6"/>
  <c r="B386" i="6"/>
  <c r="C386" i="6" s="1"/>
  <c r="D386" i="6"/>
  <c r="F386" i="6"/>
  <c r="G386" i="6"/>
  <c r="H386" i="6"/>
  <c r="J386" i="6"/>
  <c r="F387" i="6"/>
  <c r="G387" i="6"/>
  <c r="H387" i="6"/>
  <c r="J387" i="6"/>
  <c r="F388" i="6"/>
  <c r="G388" i="6"/>
  <c r="H388" i="6"/>
  <c r="B389" i="6"/>
  <c r="E389" i="6" s="1"/>
  <c r="F389" i="6"/>
  <c r="G389" i="6"/>
  <c r="H389" i="6"/>
  <c r="B390" i="6"/>
  <c r="E390" i="6" s="1"/>
  <c r="F390" i="6"/>
  <c r="G390" i="6"/>
  <c r="H390" i="6"/>
  <c r="J390" i="6"/>
  <c r="B391" i="6"/>
  <c r="F391" i="6"/>
  <c r="G391" i="6"/>
  <c r="H391" i="6"/>
  <c r="J392" i="6"/>
  <c r="B393" i="6"/>
  <c r="B394" i="6"/>
  <c r="J394" i="6"/>
  <c r="B395" i="6"/>
  <c r="J395" i="6"/>
  <c r="B396" i="6"/>
  <c r="J396" i="6"/>
  <c r="B398" i="6"/>
  <c r="B399" i="6"/>
  <c r="B400" i="6"/>
  <c r="B401" i="6"/>
  <c r="B403" i="6"/>
  <c r="C403" i="6"/>
  <c r="D403" i="6"/>
  <c r="B404" i="6"/>
  <c r="C404" i="6"/>
  <c r="D404" i="6"/>
  <c r="B405" i="6"/>
  <c r="C405" i="6" s="1"/>
  <c r="D405" i="6"/>
  <c r="B407" i="6"/>
  <c r="C407" i="6" s="1"/>
  <c r="D407" i="6"/>
  <c r="B408" i="6"/>
  <c r="C408" i="6" s="1"/>
  <c r="D408" i="6"/>
  <c r="B409" i="6"/>
  <c r="C409" i="6" s="1"/>
  <c r="D409" i="6"/>
  <c r="B411" i="6"/>
  <c r="C411" i="6"/>
  <c r="D411" i="6"/>
  <c r="B412" i="6"/>
  <c r="C412" i="6" s="1"/>
  <c r="D412" i="6"/>
  <c r="B413" i="6"/>
  <c r="C413" i="6" s="1"/>
  <c r="D413" i="6"/>
  <c r="B415" i="6"/>
  <c r="C415" i="6" s="1"/>
  <c r="D415" i="6"/>
  <c r="B416" i="6"/>
  <c r="C416" i="6"/>
  <c r="D416" i="6"/>
  <c r="B417" i="6"/>
  <c r="C417" i="6" s="1"/>
  <c r="D417" i="6"/>
  <c r="B419" i="6"/>
  <c r="C419" i="6" s="1"/>
  <c r="D419" i="6"/>
  <c r="B420" i="6"/>
  <c r="C420" i="6" s="1"/>
  <c r="B421" i="6"/>
  <c r="C421" i="6"/>
  <c r="D421" i="6"/>
  <c r="D422" i="6"/>
  <c r="B423" i="6"/>
  <c r="C423" i="6" s="1"/>
  <c r="D423" i="6"/>
  <c r="B424" i="6"/>
  <c r="C424" i="6" s="1"/>
  <c r="D424" i="6"/>
  <c r="B425" i="6"/>
  <c r="C425" i="6"/>
  <c r="D425" i="6"/>
  <c r="B427" i="6"/>
  <c r="C427" i="6" s="1"/>
  <c r="D428" i="6"/>
  <c r="B429" i="6"/>
  <c r="C429" i="6" s="1"/>
  <c r="D429" i="6"/>
  <c r="B431" i="6"/>
  <c r="C431" i="6"/>
  <c r="D431" i="6"/>
  <c r="B432" i="6"/>
  <c r="C432" i="6" s="1"/>
  <c r="D432" i="6"/>
  <c r="B433" i="6"/>
  <c r="C433" i="6" s="1"/>
  <c r="D433" i="6"/>
  <c r="D435" i="6"/>
  <c r="B436" i="6"/>
  <c r="C436" i="6"/>
  <c r="D436" i="6"/>
  <c r="B437" i="6"/>
  <c r="C437" i="6" s="1"/>
  <c r="D437" i="6"/>
  <c r="B438" i="6"/>
  <c r="C438" i="6" s="1"/>
  <c r="D438" i="6"/>
  <c r="B439" i="6"/>
  <c r="C439" i="6" s="1"/>
  <c r="D439" i="6"/>
  <c r="B440" i="6"/>
  <c r="C440" i="6"/>
  <c r="D440" i="6"/>
  <c r="B441" i="6"/>
  <c r="C441" i="6" s="1"/>
  <c r="D441" i="6"/>
  <c r="B443" i="6"/>
  <c r="C443" i="6" s="1"/>
  <c r="B444" i="6"/>
  <c r="C444" i="6" s="1"/>
  <c r="D444" i="6"/>
  <c r="B445" i="6"/>
  <c r="C445" i="6"/>
  <c r="B447" i="6"/>
  <c r="C447" i="6" s="1"/>
  <c r="D447" i="6"/>
  <c r="B448" i="6"/>
  <c r="C448" i="6" s="1"/>
  <c r="D448" i="6"/>
  <c r="B449" i="6"/>
  <c r="C449" i="6" s="1"/>
  <c r="D449" i="6"/>
  <c r="D451" i="6"/>
  <c r="B452" i="6"/>
  <c r="C452" i="6" s="1"/>
  <c r="D452" i="6"/>
  <c r="D453" i="6"/>
  <c r="B454" i="6"/>
  <c r="C454" i="6" s="1"/>
  <c r="B455" i="6"/>
  <c r="C455" i="6" s="1"/>
  <c r="D455" i="6"/>
  <c r="B456" i="6"/>
  <c r="C456" i="6"/>
  <c r="B457" i="6"/>
  <c r="C457" i="6" s="1"/>
  <c r="D457" i="6"/>
  <c r="D458" i="6"/>
  <c r="B459" i="6"/>
  <c r="C459" i="6" s="1"/>
  <c r="D459" i="6"/>
  <c r="B460" i="6"/>
  <c r="C460" i="6"/>
  <c r="D460" i="6"/>
  <c r="B461" i="6"/>
  <c r="C461" i="6" s="1"/>
  <c r="D461" i="6"/>
  <c r="B463" i="6"/>
  <c r="C463" i="6" s="1"/>
  <c r="B465" i="6"/>
  <c r="C465" i="6"/>
  <c r="B468" i="6"/>
  <c r="C468" i="6"/>
  <c r="B469" i="6"/>
  <c r="B470" i="6"/>
  <c r="B471" i="6"/>
  <c r="B472" i="6"/>
  <c r="B473" i="6"/>
  <c r="B474" i="6"/>
  <c r="B475" i="6"/>
  <c r="B476" i="6"/>
  <c r="B477" i="6"/>
  <c r="B478" i="6"/>
  <c r="B479" i="6"/>
  <c r="B480" i="6"/>
  <c r="B481" i="6"/>
  <c r="C481" i="6"/>
  <c r="B482" i="6"/>
  <c r="C482" i="6"/>
  <c r="C483" i="6"/>
  <c r="C484" i="6"/>
  <c r="B485" i="6"/>
  <c r="C485" i="6"/>
  <c r="B486" i="6"/>
  <c r="C487" i="6"/>
  <c r="B488" i="6"/>
  <c r="C488" i="6"/>
  <c r="B489" i="6"/>
  <c r="C489" i="6"/>
  <c r="B490" i="6"/>
  <c r="B491" i="6"/>
  <c r="B492" i="6"/>
  <c r="C492" i="6"/>
  <c r="B493" i="6"/>
  <c r="C493" i="6"/>
  <c r="B494" i="6"/>
  <c r="C494" i="6"/>
  <c r="C495" i="6"/>
  <c r="C497" i="6"/>
  <c r="C521" i="6"/>
  <c r="C522" i="6"/>
  <c r="C524" i="6"/>
  <c r="C525" i="6"/>
  <c r="C526" i="6"/>
  <c r="C532" i="6"/>
  <c r="C533" i="6"/>
  <c r="C535" i="6"/>
  <c r="C536" i="6"/>
  <c r="C537" i="6"/>
  <c r="C538" i="6"/>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B2" i="2"/>
  <c r="B5" i="2"/>
  <c r="B6" i="2"/>
  <c r="W16" i="2"/>
  <c r="Y16" i="2"/>
  <c r="Z16" i="2"/>
  <c r="AB16" i="2" a="1"/>
  <c r="AB22" i="2" s="1"/>
  <c r="X22" i="2" s="1"/>
  <c r="AC16" i="2"/>
  <c r="W17" i="2"/>
  <c r="Y17" i="2"/>
  <c r="Z17" i="2"/>
  <c r="AB17" i="2"/>
  <c r="X17" i="2" s="1"/>
  <c r="M18" i="2"/>
  <c r="N18" i="2"/>
  <c r="Q18" i="2"/>
  <c r="Q21" i="2" s="1"/>
  <c r="R18" i="2"/>
  <c r="S18" i="2"/>
  <c r="S21" i="2" s="1"/>
  <c r="T18" i="2"/>
  <c r="T21" i="2" s="1"/>
  <c r="W18" i="2"/>
  <c r="Y18" i="2"/>
  <c r="Z18" i="2"/>
  <c r="AB18" i="2"/>
  <c r="X18" i="2" s="1"/>
  <c r="AC18" i="2"/>
  <c r="M19" i="2"/>
  <c r="N19" i="2"/>
  <c r="P19" i="2"/>
  <c r="Q19" i="2"/>
  <c r="R19" i="2"/>
  <c r="R21" i="2" s="1"/>
  <c r="S19" i="2"/>
  <c r="T19" i="2"/>
  <c r="W19" i="2"/>
  <c r="Y19" i="2"/>
  <c r="Z19" i="2"/>
  <c r="AB19" i="2"/>
  <c r="X19" i="2" s="1"/>
  <c r="M20" i="2"/>
  <c r="N20" i="2"/>
  <c r="O20" i="2"/>
  <c r="Q20" i="2"/>
  <c r="R20" i="2"/>
  <c r="S20" i="2"/>
  <c r="T20" i="2"/>
  <c r="W20" i="2"/>
  <c r="Y20" i="2"/>
  <c r="Z20" i="2"/>
  <c r="AB20" i="2"/>
  <c r="X20" i="2" s="1"/>
  <c r="AC20" i="2"/>
  <c r="C21" i="2"/>
  <c r="W21" i="2"/>
  <c r="Y21" i="2"/>
  <c r="Z21" i="2"/>
  <c r="Y22" i="2"/>
  <c r="Z22" i="2"/>
  <c r="AC22" i="2"/>
  <c r="M23" i="2"/>
  <c r="W23" i="2"/>
  <c r="Y23" i="2"/>
  <c r="Z23" i="2"/>
  <c r="W24" i="2"/>
  <c r="Y24" i="2"/>
  <c r="Z24" i="2"/>
  <c r="AC24" i="2"/>
  <c r="Y25" i="2"/>
  <c r="Z25" i="2"/>
  <c r="AB25" i="2"/>
  <c r="X25" i="2" s="1"/>
  <c r="AC25" i="2"/>
  <c r="W26" i="2"/>
  <c r="Y26" i="2"/>
  <c r="Z26" i="2"/>
  <c r="AC26" i="2"/>
  <c r="W27" i="2"/>
  <c r="Y27" i="2"/>
  <c r="Z27" i="2"/>
  <c r="AB27" i="2"/>
  <c r="X27" i="2" s="1"/>
  <c r="W28" i="2"/>
  <c r="Y28" i="2"/>
  <c r="Z28" i="2"/>
  <c r="X29" i="2"/>
  <c r="Y29" i="2"/>
  <c r="Z29" i="2"/>
  <c r="AB29" i="2"/>
  <c r="AC29" i="2"/>
  <c r="W30" i="2"/>
  <c r="X30" i="2"/>
  <c r="Y30" i="2"/>
  <c r="Z30" i="2"/>
  <c r="AB30" i="2"/>
  <c r="W31" i="2"/>
  <c r="X31" i="2"/>
  <c r="Y31" i="2"/>
  <c r="Z31" i="2"/>
  <c r="AB31" i="2"/>
  <c r="Y32" i="2"/>
  <c r="Z32" i="2"/>
  <c r="AB32" i="2"/>
  <c r="X32" i="2" s="1"/>
  <c r="AC32" i="2"/>
  <c r="W33" i="2"/>
  <c r="X33" i="2"/>
  <c r="Y33" i="2"/>
  <c r="Z33" i="2"/>
  <c r="AB33" i="2"/>
  <c r="AC33" i="2"/>
  <c r="W34" i="2"/>
  <c r="Y34" i="2"/>
  <c r="Z34" i="2"/>
  <c r="AB34" i="2"/>
  <c r="X34" i="2" s="1"/>
  <c r="AC34" i="2"/>
  <c r="Y35" i="2"/>
  <c r="Z35" i="2"/>
  <c r="W36" i="2"/>
  <c r="Y36" i="2"/>
  <c r="Z36" i="2"/>
  <c r="AB36" i="2"/>
  <c r="X36" i="2" s="1"/>
  <c r="AC36" i="2"/>
  <c r="W37" i="2"/>
  <c r="Y37" i="2"/>
  <c r="Z37" i="2"/>
  <c r="AB37" i="2"/>
  <c r="X37" i="2" s="1"/>
  <c r="AC37" i="2"/>
  <c r="X38" i="2"/>
  <c r="Y38" i="2"/>
  <c r="Z38" i="2"/>
  <c r="AB38" i="2"/>
  <c r="AC38" i="2"/>
  <c r="W39" i="2"/>
  <c r="Y39" i="2"/>
  <c r="Z39" i="2"/>
  <c r="AB39" i="2"/>
  <c r="X39" i="2" s="1"/>
  <c r="W40" i="2"/>
  <c r="Y40" i="2"/>
  <c r="Z40" i="2"/>
  <c r="AB40" i="2"/>
  <c r="X40" i="2" s="1"/>
  <c r="AC40" i="2"/>
  <c r="W41" i="2"/>
  <c r="X41" i="2"/>
  <c r="Y41" i="2"/>
  <c r="Z41" i="2"/>
  <c r="AB41" i="2"/>
  <c r="AC41" i="2"/>
  <c r="W42" i="2"/>
  <c r="Y42" i="2"/>
  <c r="Z42" i="2"/>
  <c r="AB42" i="2"/>
  <c r="X42" i="2" s="1"/>
  <c r="AC42" i="2"/>
  <c r="W43" i="2"/>
  <c r="X43" i="2"/>
  <c r="Y43" i="2"/>
  <c r="Z43" i="2"/>
  <c r="AB43" i="2"/>
  <c r="W44" i="2"/>
  <c r="X44" i="2"/>
  <c r="Y44" i="2"/>
  <c r="Z44" i="2"/>
  <c r="AB44" i="2"/>
  <c r="AC44" i="2"/>
  <c r="X45" i="2"/>
  <c r="Y45" i="2"/>
  <c r="Z45" i="2"/>
  <c r="AB45" i="2"/>
  <c r="AC45" i="2"/>
  <c r="Y46" i="2"/>
  <c r="Z46" i="2"/>
  <c r="AB46" i="2"/>
  <c r="X46" i="2" s="1"/>
  <c r="W47" i="2"/>
  <c r="X47" i="2"/>
  <c r="Y47" i="2"/>
  <c r="Z47" i="2"/>
  <c r="AB47" i="2"/>
  <c r="Y48" i="2"/>
  <c r="Z48" i="2"/>
  <c r="AB48" i="2"/>
  <c r="X48" i="2" s="1"/>
  <c r="AC48" i="2"/>
  <c r="W49" i="2"/>
  <c r="Y49" i="2"/>
  <c r="Z49" i="2"/>
  <c r="AB49" i="2"/>
  <c r="X49" i="2" s="1"/>
  <c r="AC49" i="2"/>
  <c r="W50" i="2"/>
  <c r="Y50" i="2"/>
  <c r="Z50" i="2"/>
  <c r="AC50" i="2"/>
  <c r="W51" i="2"/>
  <c r="Y51" i="2"/>
  <c r="Z51" i="2"/>
  <c r="AB51" i="2"/>
  <c r="X51" i="2" s="1"/>
  <c r="X52" i="2"/>
  <c r="Y52" i="2"/>
  <c r="Z52" i="2"/>
  <c r="AB52" i="2"/>
  <c r="AC52" i="2"/>
  <c r="X53" i="2"/>
  <c r="Y53" i="2"/>
  <c r="Z53" i="2"/>
  <c r="AB53" i="2"/>
  <c r="AC53" i="2"/>
  <c r="Y54" i="2"/>
  <c r="Z54" i="2"/>
  <c r="AB54" i="2"/>
  <c r="X54" i="2" s="1"/>
  <c r="AC54" i="2"/>
  <c r="Y55" i="2"/>
  <c r="Z55" i="2"/>
  <c r="X56" i="2"/>
  <c r="Y56" i="2"/>
  <c r="Z56" i="2"/>
  <c r="AB56" i="2"/>
  <c r="Y57" i="2"/>
  <c r="Z57" i="2"/>
  <c r="AB57" i="2"/>
  <c r="X57" i="2" s="1"/>
  <c r="Y58" i="2"/>
  <c r="Z58" i="2"/>
  <c r="X59" i="2"/>
  <c r="Y59" i="2"/>
  <c r="Z59" i="2"/>
  <c r="AB59" i="2"/>
  <c r="Y60" i="2"/>
  <c r="Z60" i="2"/>
  <c r="AB60" i="2"/>
  <c r="X60" i="2" s="1"/>
  <c r="Y61" i="2"/>
  <c r="Z61" i="2"/>
  <c r="X62" i="2"/>
  <c r="Y62" i="2"/>
  <c r="Z62" i="2"/>
  <c r="AB62" i="2"/>
  <c r="Y63" i="2"/>
  <c r="Z63" i="2"/>
  <c r="AB63" i="2"/>
  <c r="X63" i="2" s="1"/>
  <c r="Y64" i="2"/>
  <c r="Z64" i="2"/>
  <c r="X65" i="2"/>
  <c r="Y65" i="2"/>
  <c r="Z65" i="2"/>
  <c r="AB65" i="2"/>
  <c r="Y66" i="2"/>
  <c r="Z66" i="2"/>
  <c r="AB66" i="2"/>
  <c r="X66" i="2" s="1"/>
  <c r="Y67" i="2"/>
  <c r="Z67" i="2"/>
  <c r="X68" i="2"/>
  <c r="Y68" i="2"/>
  <c r="Z68" i="2"/>
  <c r="AB68" i="2"/>
  <c r="Y69" i="2"/>
  <c r="Z69" i="2"/>
  <c r="AB69" i="2"/>
  <c r="X69" i="2" s="1"/>
  <c r="AB70" i="2"/>
  <c r="AB71" i="2"/>
  <c r="AB72" i="2"/>
  <c r="AB74" i="2"/>
  <c r="AB75" i="2"/>
  <c r="AB76" i="2"/>
  <c r="AB77" i="2"/>
  <c r="AB78" i="2"/>
  <c r="AB79" i="2"/>
  <c r="AO1" i="99"/>
  <c r="W9" i="99"/>
  <c r="W10" i="99"/>
  <c r="AC10" i="99"/>
  <c r="W11" i="99"/>
  <c r="W12" i="99"/>
  <c r="AV12" i="99"/>
  <c r="BA12" i="99"/>
  <c r="BY12" i="99"/>
  <c r="AV13" i="99"/>
  <c r="BA13" i="99"/>
  <c r="W14" i="99"/>
  <c r="AC14" i="99"/>
  <c r="AJ14" i="99"/>
  <c r="AV14" i="99"/>
  <c r="BY14" i="99"/>
  <c r="W15" i="99"/>
  <c r="AV15" i="99"/>
  <c r="W16" i="99"/>
  <c r="W17" i="99"/>
  <c r="AC17" i="99"/>
  <c r="S18" i="99"/>
  <c r="W18" i="99"/>
  <c r="AC18" i="99"/>
  <c r="S19" i="99"/>
  <c r="AB19" i="99"/>
  <c r="AG19" i="99"/>
  <c r="AL19" i="99"/>
  <c r="S20" i="99"/>
  <c r="S21" i="99"/>
  <c r="W21" i="99"/>
  <c r="S22" i="99"/>
  <c r="W22" i="99"/>
  <c r="S23" i="99"/>
  <c r="AB23" i="99"/>
  <c r="AL23" i="99"/>
  <c r="S24" i="99"/>
  <c r="S25" i="99"/>
  <c r="W25" i="99"/>
  <c r="S26" i="99"/>
  <c r="W26" i="99"/>
  <c r="AC26" i="99"/>
  <c r="S27" i="99"/>
  <c r="W27" i="99"/>
  <c r="W28" i="99"/>
  <c r="AC28" i="99"/>
  <c r="W29" i="99"/>
  <c r="AC29" i="99"/>
  <c r="W30" i="99"/>
  <c r="AC30" i="99"/>
  <c r="D37" i="99"/>
  <c r="G40" i="99"/>
  <c r="H40" i="99"/>
  <c r="I40" i="99"/>
  <c r="J40" i="99"/>
  <c r="K40" i="99"/>
  <c r="L40" i="99"/>
  <c r="W45" i="99"/>
  <c r="W46" i="99"/>
  <c r="AC46" i="99"/>
  <c r="W47" i="99"/>
  <c r="AC47" i="99"/>
  <c r="W48" i="99"/>
  <c r="AV48" i="99"/>
  <c r="BA48" i="99"/>
  <c r="BY48" i="99"/>
  <c r="AC49" i="99"/>
  <c r="AJ49" i="99"/>
  <c r="AV49" i="99"/>
  <c r="BA49" i="99"/>
  <c r="W50" i="99"/>
  <c r="AC50" i="99"/>
  <c r="AJ50" i="99"/>
  <c r="AV50" i="99"/>
  <c r="BY50" i="99"/>
  <c r="W51" i="99"/>
  <c r="AV51" i="99"/>
  <c r="W52" i="99"/>
  <c r="AC52" i="99"/>
  <c r="W53" i="99"/>
  <c r="AC53" i="99"/>
  <c r="S54" i="99"/>
  <c r="W54" i="99"/>
  <c r="AC54" i="99"/>
  <c r="S55" i="99"/>
  <c r="W55" i="99"/>
  <c r="AB55" i="99"/>
  <c r="AG55" i="99"/>
  <c r="AL55" i="99"/>
  <c r="S56" i="99"/>
  <c r="W56" i="99"/>
  <c r="AC56" i="99"/>
  <c r="S57" i="99"/>
  <c r="W57" i="99"/>
  <c r="AC57" i="99"/>
  <c r="S58" i="99"/>
  <c r="W58" i="99"/>
  <c r="AC58" i="99"/>
  <c r="S59" i="99"/>
  <c r="AB59" i="99"/>
  <c r="AL59" i="99"/>
  <c r="S60" i="99"/>
  <c r="S61" i="99"/>
  <c r="W61" i="99"/>
  <c r="S62" i="99"/>
  <c r="W62" i="99"/>
  <c r="AC62" i="99"/>
  <c r="S63" i="99"/>
  <c r="W63" i="99"/>
  <c r="AC63" i="99"/>
  <c r="W64" i="99"/>
  <c r="AC64" i="99"/>
  <c r="W65" i="99"/>
  <c r="AC65" i="99"/>
  <c r="W66" i="99"/>
  <c r="AC66" i="99"/>
  <c r="D73" i="99"/>
  <c r="G76" i="99"/>
  <c r="H76" i="99"/>
  <c r="I76" i="99"/>
  <c r="J76" i="99"/>
  <c r="K76" i="99"/>
  <c r="L76" i="99"/>
  <c r="W81" i="99"/>
  <c r="W82" i="99"/>
  <c r="AC82" i="99"/>
  <c r="W83" i="99"/>
  <c r="AC83" i="99"/>
  <c r="W84" i="99"/>
  <c r="AV84" i="99"/>
  <c r="BA84" i="99"/>
  <c r="BY84" i="99"/>
  <c r="AC85" i="99"/>
  <c r="AJ85" i="99"/>
  <c r="AV85" i="99"/>
  <c r="BA85" i="99"/>
  <c r="BY85" i="99"/>
  <c r="W86" i="99"/>
  <c r="AC86" i="99"/>
  <c r="AJ86" i="99"/>
  <c r="AV86" i="99"/>
  <c r="BY86" i="99"/>
  <c r="W87" i="99"/>
  <c r="AV87" i="99"/>
  <c r="W88" i="99"/>
  <c r="AC88" i="99"/>
  <c r="W89" i="99"/>
  <c r="AC89" i="99"/>
  <c r="S90" i="99"/>
  <c r="W90" i="99"/>
  <c r="AC90" i="99"/>
  <c r="S91" i="99"/>
  <c r="W91" i="99"/>
  <c r="AB91" i="99"/>
  <c r="AG91" i="99"/>
  <c r="AL91" i="99"/>
  <c r="S92" i="99"/>
  <c r="W92" i="99"/>
  <c r="AC92" i="99"/>
  <c r="S93" i="99"/>
  <c r="W93" i="99"/>
  <c r="AC93" i="99"/>
  <c r="S94" i="99"/>
  <c r="W94" i="99"/>
  <c r="AC94" i="99"/>
  <c r="S95" i="99"/>
  <c r="AB95" i="99"/>
  <c r="AL95" i="99"/>
  <c r="S96" i="99"/>
  <c r="S97" i="99"/>
  <c r="W97" i="99"/>
  <c r="S98" i="99"/>
  <c r="W98" i="99"/>
  <c r="AC98" i="99"/>
  <c r="S99" i="99"/>
  <c r="W99" i="99"/>
  <c r="AC99" i="99"/>
  <c r="W100" i="99"/>
  <c r="AC100" i="99"/>
  <c r="W101" i="99"/>
  <c r="AC101" i="99"/>
  <c r="W102" i="99"/>
  <c r="AC102" i="99"/>
  <c r="D109" i="99"/>
  <c r="G112" i="99"/>
  <c r="H112" i="99"/>
  <c r="I112" i="99"/>
  <c r="J112" i="99"/>
  <c r="K112" i="99"/>
  <c r="L112" i="99"/>
  <c r="W117" i="99"/>
  <c r="W118" i="99"/>
  <c r="AC118" i="99"/>
  <c r="W119" i="99"/>
  <c r="AC119" i="99"/>
  <c r="W120" i="99"/>
  <c r="AV120" i="99"/>
  <c r="BA120" i="99"/>
  <c r="BY120" i="99"/>
  <c r="AC121" i="99"/>
  <c r="AJ121" i="99"/>
  <c r="AV121" i="99"/>
  <c r="BA121" i="99"/>
  <c r="W122" i="99"/>
  <c r="AC122" i="99"/>
  <c r="AJ122" i="99"/>
  <c r="AV122" i="99"/>
  <c r="BY122" i="99"/>
  <c r="W123" i="99"/>
  <c r="AV123" i="99"/>
  <c r="W124" i="99"/>
  <c r="AC124" i="99"/>
  <c r="W125" i="99"/>
  <c r="AC125" i="99"/>
  <c r="S126" i="99"/>
  <c r="W126" i="99"/>
  <c r="AC126" i="99"/>
  <c r="S127" i="99"/>
  <c r="W127" i="99"/>
  <c r="AB127" i="99"/>
  <c r="AG127" i="99"/>
  <c r="AL127" i="99"/>
  <c r="S128" i="99"/>
  <c r="W128" i="99"/>
  <c r="AC128" i="99"/>
  <c r="S129" i="99"/>
  <c r="W129" i="99"/>
  <c r="AC129" i="99"/>
  <c r="S130" i="99"/>
  <c r="W130" i="99"/>
  <c r="AC130" i="99"/>
  <c r="S131" i="99"/>
  <c r="AB131" i="99"/>
  <c r="AL131" i="99"/>
  <c r="S132" i="99"/>
  <c r="S133" i="99"/>
  <c r="W133" i="99"/>
  <c r="S134" i="99"/>
  <c r="W134" i="99"/>
  <c r="AC134" i="99"/>
  <c r="S135" i="99"/>
  <c r="W135" i="99"/>
  <c r="AC135" i="99"/>
  <c r="W136" i="99"/>
  <c r="AC136" i="99"/>
  <c r="W137" i="99"/>
  <c r="AC137" i="99"/>
  <c r="W138" i="99"/>
  <c r="AC138" i="99"/>
  <c r="D145" i="99"/>
  <c r="G148" i="99"/>
  <c r="H148" i="99"/>
  <c r="I148" i="99"/>
  <c r="J148" i="99"/>
  <c r="K148" i="99"/>
  <c r="L148" i="99"/>
  <c r="W153" i="99"/>
  <c r="W154" i="99"/>
  <c r="AC154" i="99"/>
  <c r="W155" i="99"/>
  <c r="AC155" i="99"/>
  <c r="W156" i="99"/>
  <c r="AV156" i="99"/>
  <c r="BA156" i="99"/>
  <c r="BY156" i="99"/>
  <c r="AC157" i="99"/>
  <c r="AJ157" i="99"/>
  <c r="AV157" i="99"/>
  <c r="BA157" i="99"/>
  <c r="W158" i="99"/>
  <c r="AC158" i="99"/>
  <c r="AJ158" i="99"/>
  <c r="AV158" i="99"/>
  <c r="BY158" i="99"/>
  <c r="W159" i="99"/>
  <c r="AV159" i="99"/>
  <c r="W160" i="99"/>
  <c r="AC160" i="99"/>
  <c r="W161" i="99"/>
  <c r="AC161" i="99"/>
  <c r="S162" i="99"/>
  <c r="W162" i="99"/>
  <c r="AC162" i="99"/>
  <c r="S163" i="99"/>
  <c r="W163" i="99"/>
  <c r="AB163" i="99"/>
  <c r="AG163" i="99"/>
  <c r="AL163" i="99"/>
  <c r="S164" i="99"/>
  <c r="W164" i="99"/>
  <c r="AC164" i="99"/>
  <c r="S165" i="99"/>
  <c r="W165" i="99"/>
  <c r="AC165" i="99"/>
  <c r="S166" i="99"/>
  <c r="W166" i="99"/>
  <c r="AC166" i="99"/>
  <c r="S167" i="99"/>
  <c r="AB167" i="99"/>
  <c r="AL167" i="99"/>
  <c r="S168" i="99"/>
  <c r="S169" i="99"/>
  <c r="W169" i="99"/>
  <c r="S170" i="99"/>
  <c r="W170" i="99"/>
  <c r="AC170" i="99"/>
  <c r="S171" i="99"/>
  <c r="W171" i="99"/>
  <c r="AC171" i="99"/>
  <c r="W172" i="99"/>
  <c r="AC172" i="99"/>
  <c r="W173" i="99"/>
  <c r="AC173" i="99"/>
  <c r="W174" i="99"/>
  <c r="AC174" i="99"/>
  <c r="D181" i="99"/>
  <c r="G184" i="99"/>
  <c r="H184" i="99"/>
  <c r="I184" i="99"/>
  <c r="J184" i="99"/>
  <c r="K184" i="99"/>
  <c r="L184" i="99"/>
  <c r="W189" i="99"/>
  <c r="W190" i="99"/>
  <c r="AC190" i="99"/>
  <c r="W191" i="99"/>
  <c r="AC191" i="99"/>
  <c r="W192" i="99"/>
  <c r="AV192" i="99"/>
  <c r="BA192" i="99"/>
  <c r="BY192" i="99"/>
  <c r="AC193" i="99"/>
  <c r="AJ193" i="99"/>
  <c r="AV193" i="99"/>
  <c r="BA193" i="99"/>
  <c r="W194" i="99"/>
  <c r="AC194" i="99"/>
  <c r="AJ194" i="99"/>
  <c r="AV194" i="99"/>
  <c r="W195" i="99"/>
  <c r="AV195" i="99"/>
  <c r="W196" i="99"/>
  <c r="AC196" i="99"/>
  <c r="W197" i="99"/>
  <c r="AC197" i="99"/>
  <c r="S198" i="99"/>
  <c r="W198" i="99"/>
  <c r="AC198" i="99"/>
  <c r="S199" i="99"/>
  <c r="W199" i="99"/>
  <c r="AB199" i="99"/>
  <c r="AG199" i="99"/>
  <c r="AL199" i="99"/>
  <c r="S200" i="99"/>
  <c r="W200" i="99"/>
  <c r="AC200" i="99"/>
  <c r="S201" i="99"/>
  <c r="W201" i="99"/>
  <c r="AC201" i="99"/>
  <c r="S202" i="99"/>
  <c r="W202" i="99"/>
  <c r="AC202" i="99"/>
  <c r="S203" i="99"/>
  <c r="AB203" i="99"/>
  <c r="AL203" i="99"/>
  <c r="S204" i="99"/>
  <c r="S205" i="99"/>
  <c r="W205" i="99"/>
  <c r="S206" i="99"/>
  <c r="W206" i="99"/>
  <c r="AC206" i="99"/>
  <c r="S207" i="99"/>
  <c r="W207" i="99"/>
  <c r="AC207" i="99"/>
  <c r="W208" i="99"/>
  <c r="AC208" i="99"/>
  <c r="W209" i="99"/>
  <c r="AC209" i="99"/>
  <c r="W210" i="99"/>
  <c r="AC210" i="99"/>
  <c r="D217" i="99"/>
  <c r="G220" i="99"/>
  <c r="H220" i="99"/>
  <c r="I220" i="99"/>
  <c r="J220" i="99"/>
  <c r="K220" i="99"/>
  <c r="L220" i="99"/>
  <c r="AM1" i="71"/>
  <c r="Q5" i="71"/>
  <c r="AD5" i="71"/>
  <c r="Q6" i="71"/>
  <c r="AD6" i="71"/>
  <c r="AL6" i="71"/>
  <c r="Q7" i="71"/>
  <c r="AD7"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A18" i="79"/>
  <c r="R23" i="73"/>
  <c r="AK25" i="73"/>
  <c r="AK27" i="73"/>
  <c r="AC40" i="73"/>
  <c r="AD40" i="73"/>
  <c r="AE40" i="73"/>
  <c r="AE43" i="73" s="1"/>
  <c r="AK29" i="73" s="1"/>
  <c r="AC28" i="73" s="1"/>
  <c r="AF40" i="73"/>
  <c r="AF43" i="73" s="1"/>
  <c r="AC41" i="73"/>
  <c r="AD41" i="73"/>
  <c r="AE41" i="73"/>
  <c r="AF41" i="73"/>
  <c r="AC42" i="73"/>
  <c r="AC43" i="73" s="1"/>
  <c r="AD42" i="73"/>
  <c r="AE42" i="73"/>
  <c r="AF42" i="73"/>
  <c r="P8" i="81"/>
  <c r="B13" i="81"/>
  <c r="I20" i="81"/>
  <c r="N20" i="81"/>
  <c r="V34" i="81"/>
  <c r="I35" i="81"/>
  <c r="L35" i="81"/>
  <c r="B45" i="81"/>
  <c r="C3" i="51"/>
  <c r="C4" i="51"/>
  <c r="C5"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BU2" i="50"/>
  <c r="BU3" i="50" s="1"/>
  <c r="CG4" i="50"/>
  <c r="CH4" i="50"/>
  <c r="CI4" i="50"/>
  <c r="CJ4" i="50"/>
  <c r="CK4" i="50"/>
  <c r="CL4" i="50"/>
  <c r="CM4" i="50"/>
  <c r="CN4" i="50"/>
  <c r="CO4" i="50"/>
  <c r="CP4" i="50"/>
  <c r="CQ4" i="50"/>
  <c r="CR4" i="50"/>
  <c r="CS4" i="50"/>
  <c r="CT4" i="50"/>
  <c r="CU4" i="50"/>
  <c r="CV4" i="50"/>
  <c r="CY4" i="50"/>
  <c r="CZ4" i="50"/>
  <c r="DC4" i="50"/>
  <c r="DD4" i="50"/>
  <c r="DE4" i="50"/>
  <c r="DF4" i="50"/>
  <c r="DK4" i="50"/>
  <c r="DL4" i="50"/>
  <c r="J14" i="50"/>
  <c r="J15" i="50"/>
  <c r="A19" i="50"/>
  <c r="CC32" i="50"/>
  <c r="CD32" i="50"/>
  <c r="CC33" i="50"/>
  <c r="CD33" i="50"/>
  <c r="CC34" i="50"/>
  <c r="CD34" i="50"/>
  <c r="CC35" i="50"/>
  <c r="CD35" i="50"/>
  <c r="BD3" i="32"/>
  <c r="BI3" i="32"/>
  <c r="AU15" i="32"/>
  <c r="AU16" i="32" s="1"/>
  <c r="AV15" i="32"/>
  <c r="AV16" i="32" s="1"/>
  <c r="AW24" i="32"/>
  <c r="AA29" i="32"/>
  <c r="AJ36" i="32" a="1"/>
  <c r="AJ36" i="32" s="1"/>
  <c r="AT43" i="32"/>
  <c r="D1" i="53"/>
  <c r="V2" i="97"/>
  <c r="O19" i="2"/>
  <c r="P20" i="2"/>
  <c r="D388" i="6"/>
  <c r="E388" i="6"/>
  <c r="E386" i="6"/>
  <c r="C377" i="6"/>
  <c r="AF241" i="6"/>
  <c r="E376" i="6"/>
  <c r="AM304" i="6"/>
  <c r="J355" i="6"/>
  <c r="E348" i="6"/>
  <c r="AI302" i="6"/>
  <c r="AM302" i="6" s="1"/>
  <c r="AN302" i="6" s="1"/>
  <c r="AO302" i="6" s="1"/>
  <c r="E352" i="6"/>
  <c r="C352" i="6"/>
  <c r="AI306" i="6"/>
  <c r="E374" i="6"/>
  <c r="W25" i="2"/>
  <c r="B458" i="6"/>
  <c r="C458" i="6" s="1"/>
  <c r="B422" i="6"/>
  <c r="C422" i="6" s="1"/>
  <c r="B406" i="6"/>
  <c r="C406" i="6"/>
  <c r="B363" i="6"/>
  <c r="C363" i="6" s="1"/>
  <c r="D363" i="6"/>
  <c r="AJ327" i="6"/>
  <c r="AA240" i="6"/>
  <c r="AA24" i="6"/>
  <c r="W48" i="2"/>
  <c r="W38" i="2"/>
  <c r="D442" i="6"/>
  <c r="D410" i="6"/>
  <c r="AG315" i="6"/>
  <c r="AL295" i="6"/>
  <c r="AA186" i="6"/>
  <c r="AC51" i="2"/>
  <c r="AC47" i="2"/>
  <c r="AC43" i="2"/>
  <c r="AC39" i="2"/>
  <c r="B442" i="6"/>
  <c r="C442" i="6" s="1"/>
  <c r="D426" i="6"/>
  <c r="AC35" i="2"/>
  <c r="AC31" i="2"/>
  <c r="C490" i="6"/>
  <c r="B426" i="6"/>
  <c r="C426" i="6" s="1"/>
  <c r="D389" i="6"/>
  <c r="B462" i="6"/>
  <c r="C462" i="6" s="1"/>
  <c r="AJ332" i="6"/>
  <c r="AH304" i="6"/>
  <c r="AC27" i="2"/>
  <c r="B483" i="6"/>
  <c r="B430" i="6"/>
  <c r="C430" i="6"/>
  <c r="B379" i="6"/>
  <c r="B371" i="6"/>
  <c r="C354" i="6"/>
  <c r="AG321" i="6"/>
  <c r="AA132" i="6"/>
  <c r="AA78" i="6"/>
  <c r="AJ333" i="6"/>
  <c r="AY333" i="6" s="1"/>
  <c r="AF295" i="6"/>
  <c r="AI242" i="6"/>
  <c r="AI254" i="6" s="1"/>
  <c r="AC19" i="2"/>
  <c r="AF27" i="6"/>
  <c r="C349" i="6"/>
  <c r="AJ328" i="6"/>
  <c r="D350" i="6"/>
  <c r="AJ321" i="6"/>
  <c r="AY321" i="6" s="1"/>
  <c r="AJ298" i="6"/>
  <c r="AK298" i="6" s="1"/>
  <c r="AA241" i="6"/>
  <c r="AA187" i="6"/>
  <c r="AJ301" i="6"/>
  <c r="AK301" i="6" s="1"/>
  <c r="AA247" i="6"/>
  <c r="AA304" i="6"/>
  <c r="AJ274" i="6"/>
  <c r="AF242" i="6"/>
  <c r="D385" i="6"/>
  <c r="E383" i="6"/>
  <c r="D373" i="6"/>
  <c r="AA295" i="6"/>
  <c r="AF244" i="6"/>
  <c r="D361" i="6"/>
  <c r="E359" i="6"/>
  <c r="E355" i="6"/>
  <c r="AJ277" i="6"/>
  <c r="AF189" i="6"/>
  <c r="B496" i="6"/>
  <c r="B484" i="6"/>
  <c r="E353" i="6"/>
  <c r="AJ216" i="6"/>
  <c r="AG268" i="6"/>
  <c r="AM251" i="6"/>
  <c r="AJ220" i="6"/>
  <c r="AF188" i="6"/>
  <c r="AI26" i="6"/>
  <c r="AI33" i="6"/>
  <c r="AJ329" i="6"/>
  <c r="AJ326" i="6"/>
  <c r="AJ319" i="6"/>
  <c r="AY319" i="6"/>
  <c r="AA133" i="6"/>
  <c r="AH305" i="6"/>
  <c r="AA79" i="6"/>
  <c r="E364" i="6"/>
  <c r="E354" i="6"/>
  <c r="AJ330" i="6"/>
  <c r="AH307" i="6"/>
  <c r="AI299" i="6"/>
  <c r="AM299" i="6"/>
  <c r="AN299" i="6" s="1"/>
  <c r="AO299" i="6" s="1"/>
  <c r="BG295" i="6" a="1"/>
  <c r="AJ275" i="6"/>
  <c r="AJ271" i="6"/>
  <c r="AY271" i="6" s="1"/>
  <c r="AF137" i="6"/>
  <c r="AF191" i="6"/>
  <c r="AF245" i="6"/>
  <c r="C360" i="6"/>
  <c r="D353" i="6"/>
  <c r="C348" i="6"/>
  <c r="AG293" i="6" s="1"/>
  <c r="AH293" i="6" s="1"/>
  <c r="AI293" i="6" s="1"/>
  <c r="AG54" i="6"/>
  <c r="AG45" i="6"/>
  <c r="AG99" i="6"/>
  <c r="AL79" i="6"/>
  <c r="AG108" i="6"/>
  <c r="AG162" i="6"/>
  <c r="AG153" i="6"/>
  <c r="AL133" i="6"/>
  <c r="AG261" i="6"/>
  <c r="AL241" i="6"/>
  <c r="AG216" i="6"/>
  <c r="AG207" i="6"/>
  <c r="AL187" i="6" s="1"/>
  <c r="AG270" i="6"/>
  <c r="AG324" i="6"/>
  <c r="D368" i="6"/>
  <c r="E363" i="6"/>
  <c r="D358" i="6"/>
  <c r="AJ28" i="6"/>
  <c r="AK28" i="6"/>
  <c r="AJ35" i="6"/>
  <c r="AK35" i="6"/>
  <c r="AJ84" i="6"/>
  <c r="AK84" i="6" s="1"/>
  <c r="AJ82" i="6"/>
  <c r="AK82" i="6"/>
  <c r="AJ88" i="6"/>
  <c r="AK88" i="6"/>
  <c r="AJ30" i="6"/>
  <c r="AK30" i="6" s="1"/>
  <c r="AJ34" i="6"/>
  <c r="AK34" i="6"/>
  <c r="AF28" i="6"/>
  <c r="AJ29" i="6"/>
  <c r="AK29" i="6" s="1"/>
  <c r="AJ36" i="6"/>
  <c r="AK36" i="6" s="1"/>
  <c r="AJ83" i="6"/>
  <c r="AK83" i="6"/>
  <c r="AJ87" i="6"/>
  <c r="AK87" i="6"/>
  <c r="AJ89" i="6"/>
  <c r="AK89" i="6" s="1"/>
  <c r="AJ136" i="6"/>
  <c r="AK136" i="6" s="1"/>
  <c r="AJ191" i="6"/>
  <c r="AK191" i="6" s="1"/>
  <c r="AJ32" i="6"/>
  <c r="AK32" i="6" s="1"/>
  <c r="AJ85" i="6"/>
  <c r="AK85" i="6"/>
  <c r="AJ139" i="6"/>
  <c r="AK139" i="6"/>
  <c r="AJ142" i="6"/>
  <c r="AK142" i="6" s="1"/>
  <c r="AJ144" i="6"/>
  <c r="AK144" i="6" s="1"/>
  <c r="AJ140" i="6"/>
  <c r="AK140" i="6" s="1"/>
  <c r="AJ137" i="6"/>
  <c r="AK137" i="6" s="1"/>
  <c r="AJ192" i="6"/>
  <c r="AK192" i="6"/>
  <c r="AJ33" i="6"/>
  <c r="AK33" i="6"/>
  <c r="AF82" i="6"/>
  <c r="AJ141" i="6"/>
  <c r="AK141" i="6"/>
  <c r="AJ143" i="6"/>
  <c r="AK143" i="6"/>
  <c r="AJ193" i="6"/>
  <c r="AK193" i="6" s="1"/>
  <c r="AJ86" i="6"/>
  <c r="AK86" i="6"/>
  <c r="AJ244" i="6"/>
  <c r="AK244" i="6"/>
  <c r="AJ250" i="6"/>
  <c r="AK250" i="6"/>
  <c r="AJ197" i="6"/>
  <c r="AK197" i="6"/>
  <c r="AJ198" i="6"/>
  <c r="AK198" i="6"/>
  <c r="AJ190" i="6"/>
  <c r="AK190" i="6" s="1"/>
  <c r="AJ195" i="6"/>
  <c r="AK195" i="6"/>
  <c r="AJ90" i="6"/>
  <c r="AK90" i="6"/>
  <c r="AJ138" i="6"/>
  <c r="AK138" i="6" s="1"/>
  <c r="AJ299" i="6"/>
  <c r="AK299" i="6"/>
  <c r="AJ196" i="6"/>
  <c r="AK196" i="6"/>
  <c r="AJ251" i="6"/>
  <c r="AK251" i="6" s="1"/>
  <c r="AF298" i="6"/>
  <c r="AJ245" i="6"/>
  <c r="AK245" i="6"/>
  <c r="AJ246" i="6"/>
  <c r="AK246" i="6" s="1"/>
  <c r="AJ302" i="6"/>
  <c r="AK302" i="6" s="1"/>
  <c r="AJ306" i="6"/>
  <c r="AK306" i="6" s="1"/>
  <c r="AJ247" i="6"/>
  <c r="AK247" i="6" s="1"/>
  <c r="AJ248" i="6"/>
  <c r="AK248" i="6" s="1"/>
  <c r="AJ249" i="6"/>
  <c r="AK249" i="6"/>
  <c r="AJ252" i="6"/>
  <c r="AK252" i="6" s="1"/>
  <c r="AJ300" i="6"/>
  <c r="AK300" i="6" s="1"/>
  <c r="AJ303" i="6"/>
  <c r="AK303" i="6" s="1"/>
  <c r="AJ305" i="6"/>
  <c r="AK305" i="6" s="1"/>
  <c r="E351" i="6"/>
  <c r="AG190" i="6"/>
  <c r="AF185" i="6"/>
  <c r="AG28" i="6"/>
  <c r="AF23" i="6" s="1"/>
  <c r="C351" i="6"/>
  <c r="E349" i="6"/>
  <c r="AJ304" i="6"/>
  <c r="AK304" i="6" s="1"/>
  <c r="BG307" i="6"/>
  <c r="BD187" i="6" a="1"/>
  <c r="BD226" i="6" s="1"/>
  <c r="BE226" i="6" s="1"/>
  <c r="D366" i="6"/>
  <c r="AJ242" i="6"/>
  <c r="AK242" i="6" s="1"/>
  <c r="E369" i="6"/>
  <c r="E378" i="6"/>
  <c r="E375" i="6"/>
  <c r="AE82" i="6"/>
  <c r="K944" i="17"/>
  <c r="AE190" i="6"/>
  <c r="AE298" i="6"/>
  <c r="D378" i="6"/>
  <c r="D375" i="6"/>
  <c r="D372" i="6"/>
  <c r="D357" i="6"/>
  <c r="AH297" i="6"/>
  <c r="AL293" i="6"/>
  <c r="AN293" i="6" s="1"/>
  <c r="E362" i="6"/>
  <c r="C357" i="6"/>
  <c r="E350" i="6"/>
  <c r="AA297" i="6"/>
  <c r="AM308" i="6"/>
  <c r="AM307" i="6"/>
  <c r="AM305" i="6"/>
  <c r="AM303" i="6"/>
  <c r="AA301" i="6"/>
  <c r="AJ272" i="6"/>
  <c r="AG267" i="6"/>
  <c r="AJ265" i="6"/>
  <c r="AY265" i="6" s="1"/>
  <c r="AM253" i="6"/>
  <c r="AH251" i="6"/>
  <c r="AM197" i="6"/>
  <c r="AJ324" i="6"/>
  <c r="AG323" i="6"/>
  <c r="AG322" i="6"/>
  <c r="AG320" i="6"/>
  <c r="AJ279" i="6"/>
  <c r="AY279" i="6"/>
  <c r="AM254" i="6"/>
  <c r="AM252" i="6"/>
  <c r="AH250" i="6"/>
  <c r="AJ243" i="6"/>
  <c r="AK243" i="6" s="1"/>
  <c r="AJ219" i="6"/>
  <c r="AJ215" i="6"/>
  <c r="AH253" i="6"/>
  <c r="AA250" i="6"/>
  <c r="AJ223" i="6"/>
  <c r="AJ217" i="6"/>
  <c r="AM198" i="6"/>
  <c r="AJ158" i="6"/>
  <c r="AY158" i="6"/>
  <c r="AM306" i="6"/>
  <c r="AJ273" i="6"/>
  <c r="AY273" i="6"/>
  <c r="AM249" i="6"/>
  <c r="AH243" i="6"/>
  <c r="AG215" i="6"/>
  <c r="AM195" i="6"/>
  <c r="AJ166" i="6"/>
  <c r="AY166" i="6"/>
  <c r="AJ27" i="6"/>
  <c r="AK27" i="6"/>
  <c r="AF26" i="6"/>
  <c r="AJ26" i="6"/>
  <c r="AK26" i="6"/>
  <c r="AH81" i="6"/>
  <c r="AA27" i="6"/>
  <c r="AJ81" i="6"/>
  <c r="AK81" i="6"/>
  <c r="AJ189" i="6"/>
  <c r="AK189" i="6"/>
  <c r="AA81" i="6"/>
  <c r="AJ134" i="6"/>
  <c r="AK134" i="6"/>
  <c r="AA135" i="6"/>
  <c r="AH27" i="6"/>
  <c r="AH135" i="6"/>
  <c r="AJ135" i="6"/>
  <c r="AK135" i="6"/>
  <c r="AJ188" i="6"/>
  <c r="AK188" i="6"/>
  <c r="AA189" i="6"/>
  <c r="AH189" i="6"/>
  <c r="AC161" i="6"/>
  <c r="AC215" i="6"/>
  <c r="AJ325" i="6"/>
  <c r="AA300" i="6"/>
  <c r="AJ297" i="6"/>
  <c r="AK297" i="6" s="1"/>
  <c r="AJ278" i="6"/>
  <c r="AA243" i="6"/>
  <c r="AJ80" i="6"/>
  <c r="AK80" i="6"/>
  <c r="AJ56" i="6"/>
  <c r="AA84" i="6"/>
  <c r="AJ104" i="6"/>
  <c r="AY104" i="6"/>
  <c r="AJ106" i="6"/>
  <c r="AY106" i="6"/>
  <c r="AJ107" i="6"/>
  <c r="AJ115" i="6"/>
  <c r="AH37" i="6"/>
  <c r="AJ59" i="6"/>
  <c r="AJ62" i="6"/>
  <c r="AH88" i="6"/>
  <c r="AJ110" i="6"/>
  <c r="AA34" i="6"/>
  <c r="AJ49" i="6"/>
  <c r="AY49" i="6" s="1"/>
  <c r="AA85" i="6"/>
  <c r="AH90" i="6"/>
  <c r="AA30" i="6"/>
  <c r="AH34" i="6"/>
  <c r="AJ55" i="6"/>
  <c r="AG51" i="6"/>
  <c r="AJ60" i="6"/>
  <c r="AJ63" i="6"/>
  <c r="AY63" i="6" s="1"/>
  <c r="AH36" i="6"/>
  <c r="AG50" i="6"/>
  <c r="AG52" i="6"/>
  <c r="AG53" i="6"/>
  <c r="AJ54" i="6"/>
  <c r="AH91" i="6"/>
  <c r="AJ51" i="6"/>
  <c r="AY51" i="6"/>
  <c r="AJ57" i="6"/>
  <c r="AG104" i="6"/>
  <c r="AG106" i="6"/>
  <c r="AG107" i="6"/>
  <c r="AJ108" i="6"/>
  <c r="AA139" i="6"/>
  <c r="AH142" i="6"/>
  <c r="AA88" i="6"/>
  <c r="AJ103" i="6"/>
  <c r="AY103" i="6" s="1"/>
  <c r="AJ109" i="6"/>
  <c r="AJ113" i="6"/>
  <c r="AJ114" i="6"/>
  <c r="AJ116" i="6"/>
  <c r="AH144" i="6"/>
  <c r="AJ164" i="6"/>
  <c r="AJ111" i="6"/>
  <c r="AJ58" i="6"/>
  <c r="AJ117" i="6"/>
  <c r="AY117" i="6"/>
  <c r="AJ157" i="6"/>
  <c r="AY157" i="6"/>
  <c r="AJ167" i="6"/>
  <c r="AJ170" i="6"/>
  <c r="AA192" i="6"/>
  <c r="AJ52" i="6"/>
  <c r="AY52" i="6" s="1"/>
  <c r="AH35" i="6"/>
  <c r="AH143" i="6"/>
  <c r="AJ163" i="6"/>
  <c r="AH196" i="6"/>
  <c r="AA31" i="6"/>
  <c r="AH145" i="6"/>
  <c r="AG159" i="6"/>
  <c r="AJ50" i="6"/>
  <c r="AY50" i="6" s="1"/>
  <c r="AG105" i="6"/>
  <c r="AJ112" i="6"/>
  <c r="AG158" i="6"/>
  <c r="AG160" i="6"/>
  <c r="AJ168" i="6"/>
  <c r="AJ171" i="6"/>
  <c r="AY171" i="6"/>
  <c r="AG161" i="6"/>
  <c r="AJ162" i="6"/>
  <c r="AY162" i="6" s="1"/>
  <c r="AJ53" i="6"/>
  <c r="AY53" i="6" s="1"/>
  <c r="AJ105" i="6"/>
  <c r="AY105" i="6"/>
  <c r="AA138" i="6"/>
  <c r="AJ159" i="6"/>
  <c r="AY159" i="6" s="1"/>
  <c r="AJ169" i="6"/>
  <c r="AA193" i="6"/>
  <c r="AH197" i="6"/>
  <c r="AG212" i="6"/>
  <c r="AG214" i="6"/>
  <c r="AJ222" i="6"/>
  <c r="AJ225" i="6"/>
  <c r="AY225" i="6" s="1"/>
  <c r="AJ161" i="6"/>
  <c r="AJ61" i="6"/>
  <c r="AJ213" i="6"/>
  <c r="AY213" i="6"/>
  <c r="AJ212" i="6"/>
  <c r="AY212" i="6" s="1"/>
  <c r="AJ165" i="6"/>
  <c r="AH198" i="6"/>
  <c r="AJ218" i="6"/>
  <c r="AG269" i="6"/>
  <c r="AJ270" i="6"/>
  <c r="AY270" i="6"/>
  <c r="AJ160" i="6"/>
  <c r="AY160" i="6"/>
  <c r="AA196" i="6"/>
  <c r="AJ211" i="6"/>
  <c r="AY211" i="6" s="1"/>
  <c r="AJ221" i="6"/>
  <c r="AJ224" i="6"/>
  <c r="AH89" i="6"/>
  <c r="AH306" i="6"/>
  <c r="AI298" i="6"/>
  <c r="AM298" i="6" s="1"/>
  <c r="AN298" i="6"/>
  <c r="AO298" i="6" s="1"/>
  <c r="AF297" i="6"/>
  <c r="BC295" i="6" a="1"/>
  <c r="BC298" i="6" s="1"/>
  <c r="AJ266" i="6"/>
  <c r="AY266" i="6" s="1"/>
  <c r="AA246" i="6"/>
  <c r="AG213" i="6"/>
  <c r="AH199" i="6"/>
  <c r="AA142" i="6"/>
  <c r="AJ296" i="6"/>
  <c r="AK296" i="6" s="1"/>
  <c r="AJ276" i="6"/>
  <c r="AJ267" i="6"/>
  <c r="AY267" i="6"/>
  <c r="AG266" i="6"/>
  <c r="AJ214" i="6"/>
  <c r="AY214" i="6" s="1"/>
  <c r="AM89" i="6"/>
  <c r="AM90" i="6"/>
  <c r="AM88" i="6"/>
  <c r="AM92" i="6"/>
  <c r="AM142" i="6"/>
  <c r="AM87" i="6"/>
  <c r="AM144" i="6"/>
  <c r="AM91" i="6"/>
  <c r="AM141" i="6"/>
  <c r="AM143" i="6"/>
  <c r="AM145" i="6"/>
  <c r="AM146" i="6"/>
  <c r="AM196" i="6"/>
  <c r="AM199" i="6"/>
  <c r="AM200" i="6"/>
  <c r="AJ331" i="6"/>
  <c r="AJ323" i="6"/>
  <c r="AJ322" i="6"/>
  <c r="AY322" i="6"/>
  <c r="AJ320" i="6"/>
  <c r="AY320" i="6" s="1"/>
  <c r="AF296" i="6"/>
  <c r="AJ269" i="6"/>
  <c r="AJ268" i="6"/>
  <c r="AY268" i="6" s="1"/>
  <c r="AM250" i="6"/>
  <c r="BC187" i="6" a="1"/>
  <c r="AF79" i="6"/>
  <c r="AF80" i="6"/>
  <c r="AI80" i="6"/>
  <c r="AF81" i="6"/>
  <c r="AN60" i="6"/>
  <c r="AU60" i="6"/>
  <c r="AI45" i="6"/>
  <c r="AI46" i="6"/>
  <c r="AI38" i="6"/>
  <c r="AI27" i="6"/>
  <c r="D390" i="6"/>
  <c r="C390" i="6"/>
  <c r="D391" i="6"/>
  <c r="BF241" i="6" a="1"/>
  <c r="BF244" i="6" s="1"/>
  <c r="BG295" i="6"/>
  <c r="AI256" i="6"/>
  <c r="AI253" i="6"/>
  <c r="BG309" i="6"/>
  <c r="AI257" i="6"/>
  <c r="AP275" i="6"/>
  <c r="AW275" i="6"/>
  <c r="BG302" i="6"/>
  <c r="BG241" i="6" a="1"/>
  <c r="BG251" i="6" s="1"/>
  <c r="AN278" i="6"/>
  <c r="AU278" i="6" s="1"/>
  <c r="BG298" i="6"/>
  <c r="BG306" i="6"/>
  <c r="AI245" i="6"/>
  <c r="AM245" i="6" s="1"/>
  <c r="AI246" i="6"/>
  <c r="AM246" i="6" s="1"/>
  <c r="BG304" i="6"/>
  <c r="AI263" i="6"/>
  <c r="BG301" i="6"/>
  <c r="BG299" i="6"/>
  <c r="BG296" i="6"/>
  <c r="BC25" i="6" a="1"/>
  <c r="BC36" i="6" s="1"/>
  <c r="AJ31" i="6"/>
  <c r="AK31" i="6"/>
  <c r="D379" i="6"/>
  <c r="AI262" i="6"/>
  <c r="AI250" i="6"/>
  <c r="AP278" i="6"/>
  <c r="AW278" i="6" s="1"/>
  <c r="AY278" i="6"/>
  <c r="AR278" i="6"/>
  <c r="AX278" i="6" s="1"/>
  <c r="AN277" i="6"/>
  <c r="AU277" i="6" s="1"/>
  <c r="AI44" i="6"/>
  <c r="AI47" i="6"/>
  <c r="AP59" i="6"/>
  <c r="AW59" i="6"/>
  <c r="AN61" i="6"/>
  <c r="AU61" i="6" s="1"/>
  <c r="AP62" i="6"/>
  <c r="AW62" i="6"/>
  <c r="AI243" i="6"/>
  <c r="AM243" i="6" s="1"/>
  <c r="BC241" i="6" a="1"/>
  <c r="BC257" i="6" s="1"/>
  <c r="BH25" i="6" a="1"/>
  <c r="BH25" i="6" s="1"/>
  <c r="BD25" i="6" a="1"/>
  <c r="AI37" i="6"/>
  <c r="AR59" i="6"/>
  <c r="AX59" i="6"/>
  <c r="AP61" i="6"/>
  <c r="AW61" i="6"/>
  <c r="AR62" i="6"/>
  <c r="AX62" i="6"/>
  <c r="BB25" i="6" a="1"/>
  <c r="BB40" i="6" s="1"/>
  <c r="BB26" i="6"/>
  <c r="BE22" i="6"/>
  <c r="E371" i="6"/>
  <c r="AI43" i="6"/>
  <c r="AI29" i="6"/>
  <c r="AR61" i="6"/>
  <c r="AX61" i="6"/>
  <c r="AI36" i="6"/>
  <c r="D371" i="6"/>
  <c r="C371" i="6"/>
  <c r="AI32" i="6"/>
  <c r="BG248" i="6"/>
  <c r="BG254" i="6"/>
  <c r="BG255" i="6"/>
  <c r="BG25" i="6" a="1"/>
  <c r="BF25" i="6" a="1"/>
  <c r="BF33" i="6" s="1"/>
  <c r="AN59" i="6"/>
  <c r="AU59" i="6" s="1"/>
  <c r="AI39" i="6"/>
  <c r="AI40" i="6"/>
  <c r="AI41" i="6"/>
  <c r="AN62" i="6"/>
  <c r="AU62" i="6"/>
  <c r="AI34" i="6"/>
  <c r="AI42" i="6"/>
  <c r="AI30" i="6"/>
  <c r="AP60" i="6"/>
  <c r="AW60" i="6" s="1"/>
  <c r="AI35" i="6"/>
  <c r="AR60" i="6"/>
  <c r="AX60" i="6"/>
  <c r="AI31" i="6"/>
  <c r="AL53" i="6"/>
  <c r="AS53" i="6" s="1"/>
  <c r="AI28" i="6"/>
  <c r="BB187" i="6" a="1"/>
  <c r="BB198" i="6" s="1"/>
  <c r="BF187" i="6" a="1"/>
  <c r="BF198" i="6" s="1"/>
  <c r="AI202" i="6"/>
  <c r="AR224" i="6"/>
  <c r="AX224" i="6" s="1"/>
  <c r="BG187" i="6" a="1"/>
  <c r="BG190" i="6" s="1"/>
  <c r="AI196" i="6"/>
  <c r="AI206" i="6"/>
  <c r="AI199" i="6"/>
  <c r="AN223" i="6"/>
  <c r="AU223" i="6" s="1"/>
  <c r="AI191" i="6"/>
  <c r="AM191" i="6" s="1"/>
  <c r="AI207" i="6"/>
  <c r="AL215" i="6"/>
  <c r="AS215" i="6"/>
  <c r="AY215" i="6" s="1"/>
  <c r="AP223" i="6"/>
  <c r="AW223" i="6"/>
  <c r="AI203" i="6"/>
  <c r="AR223" i="6"/>
  <c r="AX223" i="6"/>
  <c r="AI192" i="6"/>
  <c r="AM192" i="6"/>
  <c r="AI197" i="6"/>
  <c r="AI200" i="6"/>
  <c r="AI204" i="6"/>
  <c r="AI208" i="6"/>
  <c r="AN222" i="6"/>
  <c r="AU222" i="6" s="1"/>
  <c r="AI189" i="6"/>
  <c r="AM189" i="6"/>
  <c r="AI193" i="6"/>
  <c r="AM193" i="6"/>
  <c r="AP222" i="6"/>
  <c r="AW222" i="6"/>
  <c r="AI194" i="6"/>
  <c r="AM194" i="6" s="1"/>
  <c r="AI205" i="6"/>
  <c r="AR222" i="6"/>
  <c r="AX222" i="6"/>
  <c r="AI201" i="6"/>
  <c r="AN221" i="6"/>
  <c r="AU221" i="6"/>
  <c r="AI190" i="6"/>
  <c r="AM190" i="6"/>
  <c r="AI198" i="6"/>
  <c r="AI209" i="6"/>
  <c r="AP221" i="6"/>
  <c r="AW221" i="6"/>
  <c r="AN224" i="6"/>
  <c r="AU224" i="6" s="1"/>
  <c r="AI195" i="6"/>
  <c r="AR221" i="6"/>
  <c r="AX221" i="6"/>
  <c r="AP224" i="6"/>
  <c r="AW224" i="6" s="1"/>
  <c r="BF248" i="6"/>
  <c r="BF246" i="6"/>
  <c r="BF255" i="6"/>
  <c r="BF242" i="6"/>
  <c r="BG300" i="6"/>
  <c r="BG297" i="6"/>
  <c r="BG303" i="6"/>
  <c r="BB27" i="6"/>
  <c r="BB29" i="6"/>
  <c r="BB42" i="6"/>
  <c r="BB39" i="6"/>
  <c r="H238" i="6"/>
  <c r="D238" i="6"/>
  <c r="W243" i="6"/>
  <c r="W239" i="6" s="1"/>
  <c r="W259" i="6"/>
  <c r="W261" i="6" s="1"/>
  <c r="M266" i="6"/>
  <c r="AI275" i="6"/>
  <c r="AI278" i="6"/>
  <c r="M238" i="6"/>
  <c r="D246" i="6"/>
  <c r="AI282" i="6"/>
  <c r="AI276" i="6"/>
  <c r="K238" i="6"/>
  <c r="D252" i="6"/>
  <c r="AI274" i="6"/>
  <c r="AI280" i="6"/>
  <c r="R238" i="6"/>
  <c r="S238" i="6"/>
  <c r="AI271" i="6"/>
  <c r="AI277" i="6"/>
  <c r="D259" i="6"/>
  <c r="D261" i="6"/>
  <c r="D250" i="6"/>
  <c r="AI273" i="6"/>
  <c r="W250" i="6"/>
  <c r="H266" i="6"/>
  <c r="D266" i="6" s="1"/>
  <c r="AI270" i="6"/>
  <c r="K266" i="6"/>
  <c r="AI279" i="6"/>
  <c r="O266" i="6"/>
  <c r="AI283" i="6"/>
  <c r="AI284" i="6"/>
  <c r="W246" i="6"/>
  <c r="AI272" i="6"/>
  <c r="W252" i="6"/>
  <c r="O238" i="6"/>
  <c r="D243" i="6"/>
  <c r="D239" i="6" s="1"/>
  <c r="AA251" i="6"/>
  <c r="R266" i="6"/>
  <c r="S266" i="6" s="1"/>
  <c r="AI281" i="6"/>
  <c r="D192" i="6"/>
  <c r="W196" i="6"/>
  <c r="W198" i="6"/>
  <c r="H184" i="6"/>
  <c r="D184" i="6"/>
  <c r="K184" i="6"/>
  <c r="M184" i="6"/>
  <c r="AI216" i="6"/>
  <c r="AI219" i="6"/>
  <c r="W192" i="6"/>
  <c r="D198" i="6"/>
  <c r="O184" i="6"/>
  <c r="D189" i="6"/>
  <c r="D185" i="6" s="1"/>
  <c r="D205" i="6"/>
  <c r="D207" i="6" s="1"/>
  <c r="K212" i="6"/>
  <c r="R184" i="6"/>
  <c r="S184" i="6" s="1"/>
  <c r="W189" i="6"/>
  <c r="W185" i="6"/>
  <c r="O212" i="6"/>
  <c r="R212" i="6"/>
  <c r="S212" i="6"/>
  <c r="AI217" i="6"/>
  <c r="AI226" i="6"/>
  <c r="AI220" i="6"/>
  <c r="AI228" i="6"/>
  <c r="H212" i="6"/>
  <c r="D212" i="6" s="1"/>
  <c r="AI229" i="6"/>
  <c r="M212" i="6"/>
  <c r="AI223" i="6"/>
  <c r="AI221" i="6"/>
  <c r="AI222" i="6"/>
  <c r="AI224" i="6"/>
  <c r="AI225" i="6"/>
  <c r="AI230" i="6"/>
  <c r="AA197" i="6"/>
  <c r="D196" i="6"/>
  <c r="W205" i="6"/>
  <c r="W207" i="6" s="1"/>
  <c r="AI227" i="6"/>
  <c r="AI218" i="6"/>
  <c r="BC312" i="6"/>
  <c r="BC302" i="6"/>
  <c r="BC308" i="6"/>
  <c r="BC297" i="6"/>
  <c r="BC300" i="6"/>
  <c r="BC305" i="6"/>
  <c r="BC296" i="6"/>
  <c r="BC299" i="6"/>
  <c r="BC301" i="6"/>
  <c r="BC306" i="6"/>
  <c r="BC311" i="6"/>
  <c r="H130" i="6"/>
  <c r="D130" i="6"/>
  <c r="W135" i="6"/>
  <c r="W131" i="6" s="1"/>
  <c r="H158" i="6"/>
  <c r="D158" i="6" s="1"/>
  <c r="AI164" i="6"/>
  <c r="AI172" i="6"/>
  <c r="AI176" i="6"/>
  <c r="K130" i="6"/>
  <c r="D151" i="6"/>
  <c r="D153" i="6" s="1"/>
  <c r="K158" i="6"/>
  <c r="M130" i="6"/>
  <c r="W151" i="6"/>
  <c r="W153" i="6" s="1"/>
  <c r="M158" i="6"/>
  <c r="O130" i="6"/>
  <c r="O158" i="6"/>
  <c r="R130" i="6"/>
  <c r="S130" i="6" s="1"/>
  <c r="AA143" i="6"/>
  <c r="R158" i="6"/>
  <c r="S158" i="6" s="1"/>
  <c r="AI166" i="6"/>
  <c r="D138" i="6"/>
  <c r="AI162" i="6"/>
  <c r="W138" i="6"/>
  <c r="AI174" i="6"/>
  <c r="D142" i="6"/>
  <c r="D144" i="6"/>
  <c r="AI165" i="6"/>
  <c r="AI175" i="6"/>
  <c r="AI168" i="6"/>
  <c r="W144" i="6"/>
  <c r="AI167" i="6"/>
  <c r="AI171" i="6"/>
  <c r="AI163" i="6"/>
  <c r="W142" i="6"/>
  <c r="AI170" i="6"/>
  <c r="D135" i="6"/>
  <c r="D131" i="6" s="1"/>
  <c r="AI169" i="6"/>
  <c r="AI173" i="6"/>
  <c r="BD191" i="6"/>
  <c r="BE191" i="6" s="1"/>
  <c r="BD205" i="6"/>
  <c r="BE205" i="6" s="1"/>
  <c r="BD217" i="6"/>
  <c r="BE217" i="6" s="1"/>
  <c r="BD198" i="6"/>
  <c r="BE198" i="6" s="1"/>
  <c r="BD207" i="6"/>
  <c r="BE207" i="6" s="1"/>
  <c r="BD215" i="6"/>
  <c r="BE215" i="6" s="1"/>
  <c r="BD221" i="6"/>
  <c r="BE221" i="6" s="1"/>
  <c r="BD199" i="6"/>
  <c r="BE199" i="6" s="1"/>
  <c r="BD214" i="6"/>
  <c r="BE214" i="6" s="1"/>
  <c r="BD219" i="6"/>
  <c r="BE219" i="6" s="1"/>
  <c r="BD197" i="6"/>
  <c r="BE197" i="6" s="1"/>
  <c r="BD189" i="6"/>
  <c r="BE189" i="6" s="1"/>
  <c r="BD223" i="6"/>
  <c r="BE223" i="6" s="1"/>
  <c r="BD208" i="6"/>
  <c r="BE208" i="6" s="1"/>
  <c r="W88" i="6"/>
  <c r="W90" i="6"/>
  <c r="H104" i="6"/>
  <c r="D104" i="6"/>
  <c r="D81" i="6"/>
  <c r="D77" i="6" s="1"/>
  <c r="D97" i="6"/>
  <c r="D99" i="6"/>
  <c r="K104" i="6"/>
  <c r="AI113" i="6"/>
  <c r="AI116" i="6"/>
  <c r="W81" i="6"/>
  <c r="W77" i="6"/>
  <c r="W97" i="6"/>
  <c r="W99" i="6" s="1"/>
  <c r="M104" i="6"/>
  <c r="H76" i="6"/>
  <c r="D76" i="6" s="1"/>
  <c r="K76" i="6"/>
  <c r="M76" i="6"/>
  <c r="O76" i="6"/>
  <c r="D88" i="6"/>
  <c r="AI109" i="6"/>
  <c r="AI114" i="6"/>
  <c r="AI111" i="6"/>
  <c r="AI115" i="6"/>
  <c r="AI117" i="6"/>
  <c r="AI120" i="6"/>
  <c r="AI121" i="6"/>
  <c r="D84" i="6"/>
  <c r="AI110" i="6"/>
  <c r="AI112" i="6"/>
  <c r="AI122" i="6"/>
  <c r="W84" i="6"/>
  <c r="D90" i="6"/>
  <c r="AI108" i="6"/>
  <c r="O104" i="6"/>
  <c r="AI118" i="6"/>
  <c r="R76" i="6"/>
  <c r="S76" i="6"/>
  <c r="AA89" i="6"/>
  <c r="R104" i="6"/>
  <c r="S104" i="6"/>
  <c r="AI119" i="6"/>
  <c r="AP114" i="6"/>
  <c r="AW114" i="6" s="1"/>
  <c r="BG79" i="6" a="1"/>
  <c r="AI98" i="6"/>
  <c r="AI101" i="6"/>
  <c r="AI82" i="6"/>
  <c r="AM82" i="6" s="1"/>
  <c r="AN82" i="6" s="1"/>
  <c r="AO82" i="6" s="1"/>
  <c r="AI88" i="6"/>
  <c r="AN115" i="6"/>
  <c r="AU115" i="6"/>
  <c r="AY115" i="6" s="1"/>
  <c r="BB79" i="6" a="1"/>
  <c r="AI85" i="6"/>
  <c r="AM85" i="6" s="1"/>
  <c r="AN85" i="6" s="1"/>
  <c r="AO85" i="6" s="1"/>
  <c r="AI90" i="6"/>
  <c r="BC79" i="6" a="1"/>
  <c r="BD79" i="6" a="1"/>
  <c r="BD79" i="6" s="1"/>
  <c r="BE79" i="6" s="1"/>
  <c r="AI81" i="6"/>
  <c r="AM81" i="6" s="1"/>
  <c r="AN81" i="6" s="1"/>
  <c r="AO81" i="6" s="1"/>
  <c r="AI83" i="6"/>
  <c r="AM83" i="6" s="1"/>
  <c r="AN83" i="6" s="1"/>
  <c r="AO83" i="6" s="1"/>
  <c r="AI87" i="6"/>
  <c r="AI89" i="6"/>
  <c r="AI95" i="6"/>
  <c r="AI91" i="6"/>
  <c r="AI94" i="6"/>
  <c r="AR113" i="6"/>
  <c r="AX113" i="6"/>
  <c r="AI96" i="6"/>
  <c r="AI92" i="6"/>
  <c r="AL107" i="6"/>
  <c r="AS107" i="6" s="1"/>
  <c r="AY107" i="6" s="1"/>
  <c r="AN113" i="6"/>
  <c r="AU113" i="6"/>
  <c r="AN114" i="6"/>
  <c r="AU114" i="6"/>
  <c r="AN116" i="6"/>
  <c r="AU116" i="6"/>
  <c r="AP113" i="6"/>
  <c r="AW113" i="6" s="1"/>
  <c r="AR114" i="6"/>
  <c r="AX114" i="6" s="1"/>
  <c r="AP115" i="6"/>
  <c r="AW115" i="6"/>
  <c r="AP116" i="6"/>
  <c r="AW116" i="6" s="1"/>
  <c r="AI97" i="6"/>
  <c r="AI99" i="6"/>
  <c r="AR115" i="6"/>
  <c r="AX115" i="6"/>
  <c r="AR116" i="6"/>
  <c r="AX116" i="6" s="1"/>
  <c r="BF79" i="6" a="1"/>
  <c r="BF88" i="6" s="1"/>
  <c r="AI84" i="6"/>
  <c r="AM84" i="6"/>
  <c r="AN84" i="6" s="1"/>
  <c r="AO84" i="6" s="1"/>
  <c r="AI86" i="6"/>
  <c r="AM86" i="6"/>
  <c r="AN86" i="6"/>
  <c r="AO86" i="6" s="1"/>
  <c r="AI93" i="6"/>
  <c r="AI100" i="6"/>
  <c r="BC188" i="6"/>
  <c r="BC192" i="6"/>
  <c r="BC190" i="6"/>
  <c r="BC187" i="6"/>
  <c r="BC191" i="6"/>
  <c r="BC189" i="6"/>
  <c r="BC194" i="6"/>
  <c r="BC195" i="6"/>
  <c r="BC204" i="6"/>
  <c r="BC198" i="6"/>
  <c r="BC203" i="6"/>
  <c r="BC193" i="6"/>
  <c r="BC196" i="6"/>
  <c r="BC202" i="6"/>
  <c r="BC199" i="6"/>
  <c r="BC200" i="6"/>
  <c r="BC201" i="6"/>
  <c r="BC197" i="6"/>
  <c r="AY62" i="6"/>
  <c r="BD28" i="6"/>
  <c r="BE28" i="6" s="1"/>
  <c r="BD38" i="6"/>
  <c r="BE38" i="6"/>
  <c r="BD39" i="6"/>
  <c r="BE39" i="6" s="1"/>
  <c r="BD40" i="6"/>
  <c r="BE40" i="6"/>
  <c r="BD41" i="6"/>
  <c r="BE41" i="6"/>
  <c r="BD64" i="6"/>
  <c r="BE64" i="6" s="1"/>
  <c r="BD45" i="6"/>
  <c r="BE45" i="6" s="1"/>
  <c r="BD57" i="6"/>
  <c r="BE57" i="6" s="1"/>
  <c r="BD26" i="6"/>
  <c r="BE26" i="6" s="1"/>
  <c r="BD27" i="6"/>
  <c r="BE27" i="6"/>
  <c r="BD53" i="6"/>
  <c r="BE53" i="6" s="1"/>
  <c r="BD59" i="6"/>
  <c r="BE59" i="6" s="1"/>
  <c r="BD62" i="6"/>
  <c r="BE62" i="6" s="1"/>
  <c r="BD51" i="6"/>
  <c r="BE51" i="6" s="1"/>
  <c r="BD32" i="6"/>
  <c r="BE32" i="6" s="1"/>
  <c r="BD34" i="6"/>
  <c r="BE34" i="6" s="1"/>
  <c r="BD44" i="6"/>
  <c r="BE44" i="6" s="1"/>
  <c r="BD47" i="6"/>
  <c r="BE47" i="6" s="1"/>
  <c r="BD50" i="6"/>
  <c r="BE50" i="6" s="1"/>
  <c r="BD52" i="6"/>
  <c r="BE52" i="6"/>
  <c r="BD56" i="6"/>
  <c r="BE56" i="6" s="1"/>
  <c r="BD65" i="6"/>
  <c r="BE65" i="6" s="1"/>
  <c r="BD25" i="6"/>
  <c r="BE25" i="6" s="1"/>
  <c r="BD60" i="6"/>
  <c r="BE60" i="6" s="1"/>
  <c r="BD36" i="6"/>
  <c r="BE36" i="6" s="1"/>
  <c r="BD43" i="6"/>
  <c r="BE43" i="6"/>
  <c r="BD33" i="6"/>
  <c r="BE33" i="6" s="1"/>
  <c r="BD46" i="6"/>
  <c r="BE46" i="6"/>
  <c r="BD55" i="6"/>
  <c r="BE55" i="6"/>
  <c r="BD63" i="6"/>
  <c r="BE63" i="6" s="1"/>
  <c r="BD29" i="6"/>
  <c r="BE29" i="6" s="1"/>
  <c r="BD49" i="6"/>
  <c r="BE49" i="6" s="1"/>
  <c r="BD58" i="6"/>
  <c r="BE58" i="6" s="1"/>
  <c r="BD31" i="6"/>
  <c r="BE31" i="6"/>
  <c r="BD42" i="6"/>
  <c r="BE42" i="6" s="1"/>
  <c r="BD54" i="6"/>
  <c r="BE54" i="6" s="1"/>
  <c r="BD61" i="6"/>
  <c r="BE61" i="6" s="1"/>
  <c r="BD30" i="6"/>
  <c r="BE30" i="6" s="1"/>
  <c r="BD35" i="6"/>
  <c r="BE35" i="6" s="1"/>
  <c r="BD37" i="6"/>
  <c r="BE37" i="6" s="1"/>
  <c r="BD48" i="6"/>
  <c r="BE48" i="6" s="1"/>
  <c r="AY61" i="6"/>
  <c r="AY59" i="6"/>
  <c r="H50" i="6"/>
  <c r="D50" i="6"/>
  <c r="H22" i="6"/>
  <c r="D22" i="6"/>
  <c r="D34" i="6"/>
  <c r="D43" i="6"/>
  <c r="D45" i="6"/>
  <c r="K50" i="6"/>
  <c r="AI59" i="6"/>
  <c r="AI62" i="6"/>
  <c r="K22" i="6"/>
  <c r="D30" i="6"/>
  <c r="W34" i="6"/>
  <c r="W43" i="6"/>
  <c r="W45" i="6"/>
  <c r="M50" i="6"/>
  <c r="M22" i="6"/>
  <c r="W30" i="6"/>
  <c r="D36" i="6"/>
  <c r="O50" i="6"/>
  <c r="AI55" i="6"/>
  <c r="AI65" i="6"/>
  <c r="O22" i="6"/>
  <c r="W36" i="6"/>
  <c r="R50" i="6"/>
  <c r="S50" i="6"/>
  <c r="AI58" i="6"/>
  <c r="R22" i="6"/>
  <c r="S22" i="6" s="1"/>
  <c r="AI54" i="6"/>
  <c r="D27" i="6"/>
  <c r="D23" i="6" s="1"/>
  <c r="AI66" i="6"/>
  <c r="W27" i="6"/>
  <c r="W23" i="6" s="1"/>
  <c r="AI57" i="6"/>
  <c r="AA35" i="6"/>
  <c r="AI61" i="6"/>
  <c r="AI67" i="6"/>
  <c r="AI63" i="6"/>
  <c r="AI60" i="6"/>
  <c r="AI64" i="6"/>
  <c r="AI68" i="6"/>
  <c r="AI56" i="6"/>
  <c r="K292" i="6"/>
  <c r="D297" i="6"/>
  <c r="D293" i="6" s="1"/>
  <c r="W304" i="6"/>
  <c r="W306" i="6"/>
  <c r="W297" i="6"/>
  <c r="W293" i="6" s="1"/>
  <c r="D313" i="6"/>
  <c r="D315" i="6" s="1"/>
  <c r="K320" i="6"/>
  <c r="AI329" i="6"/>
  <c r="AI332" i="6"/>
  <c r="H292" i="6"/>
  <c r="D292" i="6"/>
  <c r="W300" i="6"/>
  <c r="O320" i="6"/>
  <c r="M292" i="6"/>
  <c r="AA305" i="6"/>
  <c r="AH321" i="6" s="1"/>
  <c r="R320" i="6"/>
  <c r="S320" i="6" s="1"/>
  <c r="AI328" i="6"/>
  <c r="O292" i="6"/>
  <c r="R292" i="6"/>
  <c r="S292" i="6" s="1"/>
  <c r="AI336" i="6"/>
  <c r="D304" i="6"/>
  <c r="D306" i="6"/>
  <c r="D300" i="6"/>
  <c r="AI330" i="6"/>
  <c r="AI331" i="6"/>
  <c r="AI337" i="6"/>
  <c r="AI324" i="6"/>
  <c r="AI326" i="6"/>
  <c r="AI333" i="6"/>
  <c r="AI338" i="6"/>
  <c r="H320" i="6"/>
  <c r="D320" i="6"/>
  <c r="M320" i="6"/>
  <c r="AI334" i="6"/>
  <c r="W313" i="6"/>
  <c r="W315" i="6"/>
  <c r="AI325" i="6"/>
  <c r="AI327" i="6"/>
  <c r="AI335" i="6"/>
  <c r="BB28" i="6"/>
  <c r="BC253" i="6"/>
  <c r="BC33" i="6"/>
  <c r="AM35" i="6" s="1"/>
  <c r="AN35" i="6" s="1"/>
  <c r="AO35" i="6" s="1"/>
  <c r="BC25" i="6"/>
  <c r="AM27" i="6" s="1"/>
  <c r="AN27" i="6" s="1"/>
  <c r="AO27" i="6" s="1"/>
  <c r="BB33" i="6"/>
  <c r="BC41" i="6"/>
  <c r="BC244" i="6"/>
  <c r="BC249" i="6"/>
  <c r="BC26" i="6"/>
  <c r="AM28" i="6" s="1"/>
  <c r="AN28" i="6" s="1"/>
  <c r="AO28" i="6" s="1"/>
  <c r="BC254" i="6"/>
  <c r="BB35" i="6"/>
  <c r="BB41" i="6"/>
  <c r="BB30" i="6"/>
  <c r="BB36" i="6"/>
  <c r="BB25" i="6"/>
  <c r="BB38" i="6"/>
  <c r="BH41" i="6"/>
  <c r="BH39" i="6"/>
  <c r="AY224" i="6"/>
  <c r="BH29" i="6"/>
  <c r="BF257" i="6"/>
  <c r="BF243" i="6"/>
  <c r="BF254" i="6"/>
  <c r="BF252" i="6"/>
  <c r="BF256" i="6"/>
  <c r="BF249" i="6"/>
  <c r="BF247" i="6"/>
  <c r="BF250" i="6"/>
  <c r="BF241" i="6"/>
  <c r="BF251" i="6"/>
  <c r="BF245" i="6"/>
  <c r="BF253" i="6"/>
  <c r="BC246" i="6"/>
  <c r="BC242" i="6"/>
  <c r="BG197" i="6"/>
  <c r="BF202" i="6"/>
  <c r="BF196" i="6"/>
  <c r="BF188" i="6"/>
  <c r="BF192" i="6"/>
  <c r="BF197" i="6"/>
  <c r="BF200" i="6"/>
  <c r="BF201" i="6"/>
  <c r="BF193" i="6"/>
  <c r="BF189" i="6"/>
  <c r="BF194" i="6"/>
  <c r="BF187" i="6"/>
  <c r="BB195" i="6"/>
  <c r="BB190" i="6"/>
  <c r="BB196" i="6"/>
  <c r="BB189" i="6"/>
  <c r="BB204" i="6"/>
  <c r="BB197" i="6"/>
  <c r="BF31" i="6"/>
  <c r="BF25" i="6"/>
  <c r="BF37" i="6"/>
  <c r="BF28" i="6"/>
  <c r="BF38" i="6"/>
  <c r="BF39" i="6"/>
  <c r="BF40" i="6"/>
  <c r="BF41" i="6"/>
  <c r="BF26" i="6"/>
  <c r="BF34" i="6"/>
  <c r="BF35" i="6"/>
  <c r="BF30" i="6"/>
  <c r="BG33" i="6"/>
  <c r="BG38" i="6"/>
  <c r="BG39" i="6"/>
  <c r="BG40" i="6"/>
  <c r="BG41" i="6"/>
  <c r="BG26" i="6"/>
  <c r="BG32" i="6"/>
  <c r="BG34" i="6"/>
  <c r="BG29" i="6"/>
  <c r="BG30" i="6"/>
  <c r="BG35" i="6"/>
  <c r="BG27" i="6"/>
  <c r="BG31" i="6"/>
  <c r="BG25" i="6"/>
  <c r="BG37" i="6"/>
  <c r="BG36" i="6"/>
  <c r="BG28" i="6"/>
  <c r="AH59" i="6"/>
  <c r="AH62" i="6"/>
  <c r="AH69" i="6"/>
  <c r="AI50" i="6"/>
  <c r="AH49" i="6"/>
  <c r="AH70" i="6"/>
  <c r="AI51" i="6"/>
  <c r="AH55" i="6"/>
  <c r="AH65" i="6"/>
  <c r="AH71" i="6"/>
  <c r="AI52" i="6"/>
  <c r="AH58" i="6"/>
  <c r="AH72" i="6"/>
  <c r="AI53" i="6"/>
  <c r="AH60" i="6"/>
  <c r="AH63" i="6"/>
  <c r="AH66" i="6"/>
  <c r="AH51" i="6"/>
  <c r="AH57" i="6"/>
  <c r="AH50" i="6"/>
  <c r="AH52" i="6"/>
  <c r="AH53" i="6"/>
  <c r="AH61" i="6"/>
  <c r="AH67" i="6"/>
  <c r="AH64" i="6"/>
  <c r="AH68" i="6"/>
  <c r="AI49" i="6" s="1"/>
  <c r="AH56" i="6"/>
  <c r="AH54" i="6"/>
  <c r="BG79" i="6"/>
  <c r="BG80" i="6"/>
  <c r="BG84" i="6"/>
  <c r="BG82" i="6"/>
  <c r="BG93" i="6"/>
  <c r="BG83" i="6"/>
  <c r="BG91" i="6"/>
  <c r="BG92" i="6"/>
  <c r="BG95" i="6"/>
  <c r="BG86" i="6"/>
  <c r="BG81" i="6"/>
  <c r="BG89" i="6"/>
  <c r="BG90" i="6"/>
  <c r="BG85" i="6"/>
  <c r="BG94" i="6"/>
  <c r="BG88" i="6"/>
  <c r="BG87" i="6"/>
  <c r="AH157" i="6"/>
  <c r="AH167" i="6"/>
  <c r="AH170" i="6"/>
  <c r="AH177" i="6"/>
  <c r="AI158" i="6" s="1"/>
  <c r="AH163" i="6"/>
  <c r="AH173" i="6"/>
  <c r="AH179" i="6"/>
  <c r="AI160" i="6"/>
  <c r="AH168" i="6"/>
  <c r="AH171" i="6"/>
  <c r="AH159" i="6"/>
  <c r="AH174" i="6"/>
  <c r="AH158" i="6"/>
  <c r="AH160" i="6"/>
  <c r="AH165" i="6"/>
  <c r="AH161" i="6"/>
  <c r="AH169" i="6"/>
  <c r="AH175" i="6"/>
  <c r="AH164" i="6"/>
  <c r="AH176" i="6"/>
  <c r="AI157" i="6"/>
  <c r="AH178" i="6"/>
  <c r="AI159" i="6" s="1"/>
  <c r="AH162" i="6"/>
  <c r="AH180" i="6"/>
  <c r="AI161" i="6" s="1"/>
  <c r="AH172" i="6"/>
  <c r="AH166" i="6"/>
  <c r="AH326" i="6"/>
  <c r="AH334" i="6"/>
  <c r="AH319" i="6"/>
  <c r="AH340" i="6"/>
  <c r="AI321" i="6" s="1"/>
  <c r="AH330" i="6"/>
  <c r="AH333" i="6"/>
  <c r="AH327" i="6"/>
  <c r="AH322" i="6"/>
  <c r="AH336" i="6"/>
  <c r="AH331" i="6"/>
  <c r="AH332" i="6"/>
  <c r="AH328" i="6"/>
  <c r="AH341" i="6"/>
  <c r="AI322" i="6" s="1"/>
  <c r="AH342" i="6"/>
  <c r="AI323" i="6"/>
  <c r="AH320" i="6"/>
  <c r="AH323" i="6"/>
  <c r="AH335" i="6"/>
  <c r="AH329" i="6"/>
  <c r="BD115" i="6"/>
  <c r="BE115" i="6" s="1"/>
  <c r="BD88" i="6"/>
  <c r="BE88" i="6" s="1"/>
  <c r="BD118" i="6"/>
  <c r="BE118" i="6" s="1"/>
  <c r="BD95" i="6"/>
  <c r="BE95" i="6" s="1"/>
  <c r="BD111" i="6"/>
  <c r="BE111" i="6" s="1"/>
  <c r="BD86" i="6"/>
  <c r="BE86" i="6" s="1"/>
  <c r="BD94" i="6"/>
  <c r="BE94" i="6" s="1"/>
  <c r="BD107" i="6"/>
  <c r="BE107" i="6" s="1"/>
  <c r="BD97" i="6"/>
  <c r="BE97" i="6" s="1"/>
  <c r="BD84" i="6"/>
  <c r="BE84" i="6" s="1"/>
  <c r="BD91" i="6"/>
  <c r="BE91" i="6" s="1"/>
  <c r="BD102" i="6"/>
  <c r="BE102" i="6" s="1"/>
  <c r="BD83" i="6"/>
  <c r="BE83" i="6" s="1"/>
  <c r="BD89" i="6"/>
  <c r="BE89" i="6" s="1"/>
  <c r="BD104" i="6"/>
  <c r="BE104" i="6" s="1"/>
  <c r="BD117" i="6"/>
  <c r="BE117" i="6" s="1"/>
  <c r="BD101" i="6"/>
  <c r="BE101" i="6" s="1"/>
  <c r="BD113" i="6"/>
  <c r="BE113" i="6" s="1"/>
  <c r="BD93" i="6"/>
  <c r="BE93" i="6" s="1"/>
  <c r="BD82" i="6"/>
  <c r="BE82" i="6" s="1"/>
  <c r="BD108" i="6"/>
  <c r="BE108" i="6" s="1"/>
  <c r="BD87" i="6"/>
  <c r="BE87" i="6" s="1"/>
  <c r="BD106" i="6"/>
  <c r="BE106" i="6" s="1"/>
  <c r="BD112" i="6"/>
  <c r="BE112" i="6" s="1"/>
  <c r="BF82" i="6"/>
  <c r="BF85" i="6"/>
  <c r="BF89" i="6"/>
  <c r="BF93" i="6"/>
  <c r="BF90" i="6"/>
  <c r="BF94" i="6"/>
  <c r="BC82" i="6"/>
  <c r="BC96" i="6"/>
  <c r="BC90" i="6"/>
  <c r="BC95" i="6"/>
  <c r="BC86" i="6"/>
  <c r="BC94" i="6"/>
  <c r="BC93" i="6"/>
  <c r="BC81" i="6"/>
  <c r="BC83" i="6"/>
  <c r="BC89" i="6"/>
  <c r="BC92" i="6"/>
  <c r="BC79" i="6"/>
  <c r="BC85" i="6"/>
  <c r="BC88" i="6"/>
  <c r="BC87" i="6"/>
  <c r="BC80" i="6"/>
  <c r="BC91" i="6"/>
  <c r="BC84" i="6"/>
  <c r="AH286" i="6"/>
  <c r="AI267" i="6"/>
  <c r="AH266" i="6"/>
  <c r="AH268" i="6"/>
  <c r="AH273" i="6"/>
  <c r="AH267" i="6"/>
  <c r="AH274" i="6"/>
  <c r="AH280" i="6"/>
  <c r="AH285" i="6"/>
  <c r="AI266" i="6"/>
  <c r="AH287" i="6"/>
  <c r="AI268" i="6"/>
  <c r="AH281" i="6"/>
  <c r="AH278" i="6"/>
  <c r="AH270" i="6"/>
  <c r="AH279" i="6"/>
  <c r="AH282" i="6"/>
  <c r="AH283" i="6"/>
  <c r="AH272" i="6"/>
  <c r="AH275" i="6"/>
  <c r="AH276" i="6"/>
  <c r="AH284" i="6"/>
  <c r="AI265" i="6" s="1"/>
  <c r="AH288" i="6"/>
  <c r="AI269" i="6" s="1"/>
  <c r="AH269" i="6"/>
  <c r="AH265" i="6"/>
  <c r="AH271" i="6"/>
  <c r="AH277" i="6"/>
  <c r="AH113" i="6"/>
  <c r="AH109" i="6"/>
  <c r="AH104" i="6"/>
  <c r="AH107" i="6"/>
  <c r="AH120" i="6"/>
  <c r="AH106" i="6"/>
  <c r="AH124" i="6"/>
  <c r="AI105" i="6" s="1"/>
  <c r="AH119" i="6"/>
  <c r="AH114" i="6"/>
  <c r="BB85" i="6"/>
  <c r="BB88" i="6"/>
  <c r="BB86" i="6"/>
  <c r="BB94" i="6"/>
  <c r="BB79" i="6"/>
  <c r="BB93" i="6"/>
  <c r="BB83" i="6"/>
  <c r="BB91" i="6"/>
  <c r="BB92" i="6"/>
  <c r="BB80" i="6"/>
  <c r="BB84" i="6"/>
  <c r="BB89" i="6"/>
  <c r="BB81" i="6"/>
  <c r="BB90" i="6"/>
  <c r="BB96" i="6"/>
  <c r="BB87" i="6"/>
  <c r="BB82" i="6"/>
  <c r="BB95" i="6"/>
  <c r="AH213" i="6"/>
  <c r="AH228" i="6"/>
  <c r="AH215" i="6"/>
  <c r="AH223" i="6"/>
  <c r="AH229" i="6"/>
  <c r="AH211" i="6"/>
  <c r="AH221" i="6"/>
  <c r="AH224" i="6"/>
  <c r="AH231" i="6"/>
  <c r="AI212" i="6"/>
  <c r="AH217" i="6"/>
  <c r="AH227" i="6"/>
  <c r="AH233" i="6"/>
  <c r="AI214" i="6" s="1"/>
  <c r="AH220" i="6"/>
  <c r="AH214" i="6"/>
  <c r="AH216" i="6"/>
  <c r="AH218" i="6"/>
  <c r="AH222" i="6"/>
  <c r="AH225" i="6"/>
  <c r="AH230" i="6"/>
  <c r="AI211" i="6"/>
  <c r="AH219" i="6"/>
  <c r="AH232" i="6"/>
  <c r="AI213" i="6"/>
  <c r="AH226" i="6"/>
  <c r="AH212" i="6"/>
  <c r="AH234" i="6"/>
  <c r="AI215" i="6"/>
  <c r="R28" i="79"/>
  <c r="V27" i="79"/>
  <c r="R32" i="79"/>
  <c r="U24" i="79"/>
  <c r="Q45" i="50"/>
  <c r="Q42" i="79"/>
  <c r="U23" i="50"/>
  <c r="U23" i="79"/>
  <c r="Q44" i="50"/>
  <c r="R26" i="50"/>
  <c r="V23" i="79"/>
  <c r="Q41" i="79"/>
  <c r="R27" i="50"/>
  <c r="BY193" i="99"/>
  <c r="R29" i="79"/>
  <c r="V24" i="79"/>
  <c r="V24" i="50"/>
  <c r="BY157" i="99"/>
  <c r="BY13" i="99"/>
  <c r="BY49" i="99"/>
  <c r="V23" i="50"/>
  <c r="U24" i="50"/>
  <c r="U27" i="79"/>
  <c r="Q45" i="79"/>
  <c r="V27" i="50"/>
  <c r="Q48" i="50"/>
  <c r="U27" i="50"/>
  <c r="R30" i="50"/>
  <c r="V29" i="50"/>
  <c r="R34" i="79"/>
  <c r="V29" i="79"/>
  <c r="U29" i="79"/>
  <c r="Q50" i="50"/>
  <c r="Q47" i="79"/>
  <c r="R32" i="50"/>
  <c r="U29" i="50"/>
  <c r="B666" i="53" l="1"/>
  <c r="B665" i="53"/>
  <c r="B661" i="53"/>
  <c r="B663" i="53"/>
  <c r="B664" i="53"/>
  <c r="B662" i="53"/>
  <c r="T47" i="32"/>
  <c r="B659" i="53"/>
  <c r="B660" i="53"/>
  <c r="B9" i="53"/>
  <c r="P30" i="95"/>
  <c r="P30" i="94"/>
  <c r="P30" i="93"/>
  <c r="P30" i="91"/>
  <c r="P30" i="92"/>
  <c r="B473" i="53"/>
  <c r="B621" i="53"/>
  <c r="C25" i="53"/>
  <c r="D160" i="53"/>
  <c r="C166" i="53"/>
  <c r="B330" i="53"/>
  <c r="K49" i="73" s="1"/>
  <c r="B471" i="53"/>
  <c r="C141" i="53"/>
  <c r="D126" i="53"/>
  <c r="B79" i="53"/>
  <c r="B328" i="53"/>
  <c r="B240" i="53"/>
  <c r="B640" i="53"/>
  <c r="B571" i="53"/>
  <c r="C146" i="53"/>
  <c r="B32" i="53"/>
  <c r="C44" i="53"/>
  <c r="B468" i="53"/>
  <c r="B331" i="53"/>
  <c r="E30" i="80" s="1"/>
  <c r="B529" i="53"/>
  <c r="B326" i="53"/>
  <c r="AC22" i="73" s="1"/>
  <c r="B437" i="53"/>
  <c r="B141" i="53"/>
  <c r="B580" i="53"/>
  <c r="B255" i="53"/>
  <c r="B538" i="53"/>
  <c r="B22" i="53"/>
  <c r="B258" i="53"/>
  <c r="B12" i="32" s="1"/>
  <c r="D153" i="53"/>
  <c r="B229" i="53"/>
  <c r="D151" i="53"/>
  <c r="B302" i="53"/>
  <c r="I5" i="80" s="1"/>
  <c r="B284" i="53"/>
  <c r="C16" i="53"/>
  <c r="D64" i="53"/>
  <c r="B256" i="53"/>
  <c r="C9" i="73" s="1"/>
  <c r="B164" i="53"/>
  <c r="B562" i="53"/>
  <c r="C27" i="96" s="1"/>
  <c r="C140" i="53"/>
  <c r="C162" i="53"/>
  <c r="C111" i="53"/>
  <c r="D145" i="53"/>
  <c r="C125" i="53"/>
  <c r="C126" i="53"/>
  <c r="B51" i="53"/>
  <c r="B211" i="53"/>
  <c r="B398" i="53"/>
  <c r="B395" i="53"/>
  <c r="B222" i="53"/>
  <c r="C139" i="53"/>
  <c r="B413" i="53"/>
  <c r="B634" i="53"/>
  <c r="W1" i="52" s="1"/>
  <c r="X27" i="52" s="1"/>
  <c r="D17" i="53"/>
  <c r="B63" i="53"/>
  <c r="B572" i="53"/>
  <c r="B194" i="53"/>
  <c r="B555" i="53"/>
  <c r="C19" i="52" s="1"/>
  <c r="D19" i="52" s="1"/>
  <c r="B638" i="53"/>
  <c r="D142" i="53"/>
  <c r="C160" i="53"/>
  <c r="B639" i="53"/>
  <c r="B226" i="53"/>
  <c r="B145" i="53"/>
  <c r="B58" i="53"/>
  <c r="B391" i="53"/>
  <c r="C65" i="53"/>
  <c r="B530" i="53"/>
  <c r="D48" i="53"/>
  <c r="B566" i="53"/>
  <c r="R35" i="80" s="1"/>
  <c r="B479" i="53"/>
  <c r="D24" i="53"/>
  <c r="B215" i="53"/>
  <c r="D73" i="53"/>
  <c r="D38" i="53"/>
  <c r="C12" i="53"/>
  <c r="B74" i="53"/>
  <c r="D32" i="53"/>
  <c r="B78" i="53"/>
  <c r="B444" i="53"/>
  <c r="B69" i="53"/>
  <c r="B57" i="53"/>
  <c r="B393" i="53"/>
  <c r="D141" i="53"/>
  <c r="B583" i="53"/>
  <c r="E60" i="52" s="1"/>
  <c r="B563" i="53"/>
  <c r="B225" i="53"/>
  <c r="J29" i="32" s="1"/>
  <c r="B426" i="53"/>
  <c r="B66" i="53"/>
  <c r="B469" i="53"/>
  <c r="D74" i="53"/>
  <c r="D116" i="53"/>
  <c r="C11" i="53"/>
  <c r="D110" i="53"/>
  <c r="B209" i="53"/>
  <c r="D105" i="53"/>
  <c r="B594" i="53"/>
  <c r="B117" i="53"/>
  <c r="D52" i="53"/>
  <c r="C119" i="53"/>
  <c r="B372" i="53"/>
  <c r="B635" i="53"/>
  <c r="D123" i="53"/>
  <c r="B407" i="53"/>
  <c r="D163" i="53"/>
  <c r="B374" i="53"/>
  <c r="B180" i="53"/>
  <c r="B581" i="53"/>
  <c r="J21" i="97" s="1"/>
  <c r="B49" i="53"/>
  <c r="B59" i="53"/>
  <c r="D87" i="53" s="1"/>
  <c r="D144" i="53"/>
  <c r="B320" i="53"/>
  <c r="K47" i="73" s="1"/>
  <c r="C143" i="53"/>
  <c r="D34" i="53"/>
  <c r="C37" i="53"/>
  <c r="B365" i="53"/>
  <c r="B261" i="53"/>
  <c r="B428" i="53"/>
  <c r="B332" i="53"/>
  <c r="C92" i="53"/>
  <c r="D25" i="53"/>
  <c r="B593" i="53"/>
  <c r="B81" i="53"/>
  <c r="F16" i="79" s="1"/>
  <c r="B281" i="53"/>
  <c r="B249" i="53"/>
  <c r="E13" i="80" s="1"/>
  <c r="B503" i="53"/>
  <c r="C49" i="53"/>
  <c r="B406" i="53"/>
  <c r="D35" i="53"/>
  <c r="B545" i="53"/>
  <c r="B179" i="53"/>
  <c r="B364" i="53"/>
  <c r="D108" i="53"/>
  <c r="C135" i="53"/>
  <c r="B310" i="53"/>
  <c r="K2" i="21" s="1"/>
  <c r="B192" i="53"/>
  <c r="B324" i="53"/>
  <c r="S34" i="73" s="1"/>
  <c r="C34" i="53"/>
  <c r="C131" i="53"/>
  <c r="D125" i="53"/>
  <c r="B516" i="53"/>
  <c r="B87" i="53"/>
  <c r="B585" i="53"/>
  <c r="F29" i="52" s="1"/>
  <c r="B390" i="53"/>
  <c r="B589" i="53"/>
  <c r="B110" i="53"/>
  <c r="D140" i="53"/>
  <c r="B470" i="53"/>
  <c r="B300" i="53"/>
  <c r="E33" i="80" s="1"/>
  <c r="B394" i="53"/>
  <c r="B17" i="53"/>
  <c r="B521" i="53"/>
  <c r="D143" i="53"/>
  <c r="B507" i="53"/>
  <c r="B43" i="53"/>
  <c r="B399" i="53"/>
  <c r="D14" i="53"/>
  <c r="B254" i="53"/>
  <c r="C18" i="96" s="1"/>
  <c r="B379" i="53"/>
  <c r="B10" i="53"/>
  <c r="A7" i="79" s="1"/>
  <c r="B158" i="53"/>
  <c r="C29" i="53"/>
  <c r="B466" i="53"/>
  <c r="C64" i="53"/>
  <c r="D117" i="53"/>
  <c r="B620" i="53"/>
  <c r="B512" i="53"/>
  <c r="B510" i="53"/>
  <c r="B248" i="53"/>
  <c r="C104" i="53"/>
  <c r="B356" i="53"/>
  <c r="B445" i="53"/>
  <c r="B253" i="53"/>
  <c r="C13" i="73" s="1"/>
  <c r="B268" i="53"/>
  <c r="B476" i="53"/>
  <c r="B378" i="53"/>
  <c r="B582" i="53"/>
  <c r="E8" i="52" s="1"/>
  <c r="B219" i="53"/>
  <c r="D26" i="53"/>
  <c r="B44" i="53"/>
  <c r="C22" i="53"/>
  <c r="B8" i="53"/>
  <c r="B464" i="53"/>
  <c r="B488" i="53"/>
  <c r="C121" i="53"/>
  <c r="D13" i="53"/>
  <c r="B404" i="53"/>
  <c r="B485" i="53"/>
  <c r="B539" i="53"/>
  <c r="B575" i="53"/>
  <c r="B153" i="53"/>
  <c r="D22" i="53"/>
  <c r="B203" i="53"/>
  <c r="B480" i="53"/>
  <c r="B630" i="53"/>
  <c r="O1" i="52" s="1"/>
  <c r="P48" i="52" s="1"/>
  <c r="B155" i="53"/>
  <c r="C130" i="53"/>
  <c r="B273" i="53"/>
  <c r="B363" i="53"/>
  <c r="D124" i="53"/>
  <c r="C145" i="53"/>
  <c r="B108" i="53"/>
  <c r="B169" i="53"/>
  <c r="I24" i="73" s="1"/>
  <c r="D146" i="53"/>
  <c r="B68" i="53"/>
  <c r="B61" i="53"/>
  <c r="B207" i="53"/>
  <c r="B438" i="53"/>
  <c r="B359" i="53"/>
  <c r="C94" i="53"/>
  <c r="AF4" i="99"/>
  <c r="B287" i="53"/>
  <c r="D112" i="53"/>
  <c r="B441" i="53"/>
  <c r="C108" i="53"/>
  <c r="B29" i="53"/>
  <c r="B615" i="53"/>
  <c r="C23" i="53"/>
  <c r="B224" i="53"/>
  <c r="B296" i="53"/>
  <c r="B636" i="53"/>
  <c r="AL19" i="32" s="1"/>
  <c r="C167" i="53"/>
  <c r="B618" i="53"/>
  <c r="C13" i="53"/>
  <c r="B352" i="53"/>
  <c r="B39" i="53"/>
  <c r="B336" i="53"/>
  <c r="C14" i="53"/>
  <c r="C97" i="53"/>
  <c r="B17" i="81" s="1"/>
  <c r="B27" i="53"/>
  <c r="C155" i="53"/>
  <c r="B601" i="53"/>
  <c r="C32" i="53"/>
  <c r="B308" i="53"/>
  <c r="B14" i="97" s="1"/>
  <c r="B216" i="53"/>
  <c r="B177" i="53"/>
  <c r="B32" i="73" s="1"/>
  <c r="B467" i="53"/>
  <c r="B472" i="53"/>
  <c r="B650" i="53"/>
  <c r="B648" i="53"/>
  <c r="B238" i="53"/>
  <c r="B509" i="53"/>
  <c r="B221" i="53"/>
  <c r="B223" i="53"/>
  <c r="B502" i="53"/>
  <c r="D36" i="53"/>
  <c r="B386" i="53"/>
  <c r="B205" i="53"/>
  <c r="B515" i="53"/>
  <c r="B354" i="53"/>
  <c r="B191" i="53"/>
  <c r="B25" i="53"/>
  <c r="C112" i="53"/>
  <c r="B645" i="53"/>
  <c r="D139" i="53"/>
  <c r="B387" i="53"/>
  <c r="D58" i="53"/>
  <c r="B403" i="53"/>
  <c r="B85" i="53"/>
  <c r="B385" i="53"/>
  <c r="B654" i="53"/>
  <c r="B427" i="53"/>
  <c r="B524" i="53"/>
  <c r="B196" i="53"/>
  <c r="B474" i="53"/>
  <c r="D56" i="53"/>
  <c r="B31" i="53"/>
  <c r="B132" i="53"/>
  <c r="C61" i="53"/>
  <c r="C105" i="53"/>
  <c r="B490" i="53"/>
  <c r="B574" i="53"/>
  <c r="B35" i="80" s="1"/>
  <c r="B402" i="53"/>
  <c r="B130" i="53"/>
  <c r="C158" i="53"/>
  <c r="C70" i="53"/>
  <c r="B243" i="53"/>
  <c r="C33" i="53"/>
  <c r="C52" i="53"/>
  <c r="B537" i="53"/>
  <c r="D134" i="53"/>
  <c r="D43" i="53"/>
  <c r="C103" i="53"/>
  <c r="D107" i="53"/>
  <c r="C9" i="53"/>
  <c r="B377" i="53"/>
  <c r="C144" i="53"/>
  <c r="B30" i="53"/>
  <c r="C36" i="53"/>
  <c r="B204" i="53"/>
  <c r="B449" i="53"/>
  <c r="D54" i="53"/>
  <c r="D12" i="53"/>
  <c r="D111" i="53"/>
  <c r="D57" i="53"/>
  <c r="D7" i="53"/>
  <c r="B77" i="53"/>
  <c r="A48" i="79" s="1"/>
  <c r="D46" i="53"/>
  <c r="B657" i="53"/>
  <c r="B496" i="53"/>
  <c r="B494" i="53"/>
  <c r="D11" i="53"/>
  <c r="B375" i="53"/>
  <c r="D148" i="53"/>
  <c r="B623" i="53"/>
  <c r="D62" i="53"/>
  <c r="D114" i="53"/>
  <c r="B329" i="53"/>
  <c r="BC38" i="44" s="1"/>
  <c r="B453" i="53"/>
  <c r="C127" i="53"/>
  <c r="B242" i="53"/>
  <c r="Z15" i="81" s="1"/>
  <c r="B498" i="53"/>
  <c r="B198" i="53"/>
  <c r="B384" i="53"/>
  <c r="D59" i="53"/>
  <c r="B12" i="53"/>
  <c r="B115" i="53"/>
  <c r="B482" i="53"/>
  <c r="B265" i="53"/>
  <c r="B641" i="53"/>
  <c r="B33" i="32" s="1"/>
  <c r="B596" i="53"/>
  <c r="B13" i="53"/>
  <c r="B84" i="53"/>
  <c r="B291" i="53"/>
  <c r="C123" i="53"/>
  <c r="B323" i="53"/>
  <c r="S32" i="73" s="1"/>
  <c r="B573" i="53"/>
  <c r="B597" i="53"/>
  <c r="B70" i="53"/>
  <c r="D71" i="53"/>
  <c r="B656" i="53"/>
  <c r="D15" i="53"/>
  <c r="B83" i="53"/>
  <c r="A52" i="79" s="1"/>
  <c r="C114" i="53"/>
  <c r="C56" i="53"/>
  <c r="B633" i="53"/>
  <c r="U1" i="52" s="1"/>
  <c r="B547" i="53"/>
  <c r="B353" i="53"/>
  <c r="B293" i="53"/>
  <c r="B421" i="53"/>
  <c r="B314" i="53"/>
  <c r="B497" i="53"/>
  <c r="C163" i="53"/>
  <c r="B484" i="53"/>
  <c r="B335" i="53"/>
  <c r="B147" i="53"/>
  <c r="B522" i="53"/>
  <c r="B350" i="53"/>
  <c r="D40" i="53"/>
  <c r="B55" i="53"/>
  <c r="B184" i="53"/>
  <c r="B586" i="53"/>
  <c r="F11" i="52" s="1"/>
  <c r="D70" i="53"/>
  <c r="D99" i="53"/>
  <c r="D55" i="53"/>
  <c r="B52" i="53"/>
  <c r="D131" i="53"/>
  <c r="B420" i="53"/>
  <c r="D8" i="53"/>
  <c r="B389" i="53"/>
  <c r="D159" i="53"/>
  <c r="B96" i="53"/>
  <c r="V13" i="96" s="1"/>
  <c r="B617" i="53"/>
  <c r="C26" i="53"/>
  <c r="B50" i="53"/>
  <c r="B304" i="53"/>
  <c r="E35" i="80" s="1"/>
  <c r="C118" i="53"/>
  <c r="B19" i="53"/>
  <c r="B519" i="53"/>
  <c r="B412" i="53"/>
  <c r="B505" i="53"/>
  <c r="B465" i="53"/>
  <c r="B325" i="53"/>
  <c r="AG22" i="73" s="1"/>
  <c r="B41" i="53"/>
  <c r="C133" i="53"/>
  <c r="B554" i="53"/>
  <c r="C43" i="52" s="1"/>
  <c r="D43" i="52" s="1"/>
  <c r="D42" i="53"/>
  <c r="B602" i="53"/>
  <c r="B280" i="53"/>
  <c r="B341" i="53"/>
  <c r="B173" i="53"/>
  <c r="B21" i="32" s="1"/>
  <c r="B454" i="53"/>
  <c r="B183" i="53"/>
  <c r="B595" i="53"/>
  <c r="B262" i="53"/>
  <c r="B381" i="53"/>
  <c r="B321" i="53"/>
  <c r="S28" i="73" s="1"/>
  <c r="B409" i="53"/>
  <c r="B380" i="53"/>
  <c r="B312" i="53"/>
  <c r="C152" i="53"/>
  <c r="D122" i="53"/>
  <c r="B431" i="53"/>
  <c r="B499" i="53"/>
  <c r="B111" i="53"/>
  <c r="B251" i="53"/>
  <c r="C14" i="96" s="1"/>
  <c r="B134" i="53"/>
  <c r="B607" i="53"/>
  <c r="B540" i="53"/>
  <c r="AL2" i="71" s="1"/>
  <c r="D104" i="53"/>
  <c r="B531" i="53"/>
  <c r="B239" i="53"/>
  <c r="B18" i="53"/>
  <c r="D167" i="53"/>
  <c r="B315" i="53"/>
  <c r="D118" i="53"/>
  <c r="B156" i="53"/>
  <c r="D28" i="53"/>
  <c r="B567" i="53"/>
  <c r="B231" i="53"/>
  <c r="K61" i="32" s="1"/>
  <c r="B199" i="53"/>
  <c r="B67" i="53"/>
  <c r="B237" i="53"/>
  <c r="D29" i="53"/>
  <c r="C124" i="53"/>
  <c r="D128" i="53"/>
  <c r="D130" i="53"/>
  <c r="B459" i="53"/>
  <c r="B166" i="53"/>
  <c r="B250" i="53"/>
  <c r="E17" i="80" s="1"/>
  <c r="B599" i="53"/>
  <c r="C150" i="53"/>
  <c r="B424" i="53"/>
  <c r="B367" i="53"/>
  <c r="C110" i="53"/>
  <c r="D37" i="53"/>
  <c r="B267" i="53"/>
  <c r="C10" i="53"/>
  <c r="D21" i="53"/>
  <c r="B327" i="53"/>
  <c r="E29" i="80" s="1"/>
  <c r="B139" i="53"/>
  <c r="D136" i="53"/>
  <c r="B460" i="53"/>
  <c r="B432" i="53"/>
  <c r="B288" i="53"/>
  <c r="B48" i="53"/>
  <c r="C50" i="53"/>
  <c r="D103" i="53"/>
  <c r="D23" i="53"/>
  <c r="D135" i="53"/>
  <c r="B187" i="53"/>
  <c r="B349" i="53"/>
  <c r="B283" i="53"/>
  <c r="B333" i="53"/>
  <c r="B313" i="53"/>
  <c r="B491" i="53"/>
  <c r="B500" i="53"/>
  <c r="B233" i="53"/>
  <c r="B56" i="53"/>
  <c r="C86" i="53" s="1"/>
  <c r="B628" i="53"/>
  <c r="K1" i="52" s="1"/>
  <c r="L34" i="52" s="1"/>
  <c r="B558" i="53"/>
  <c r="B40" i="53"/>
  <c r="C101" i="53"/>
  <c r="C106" i="53"/>
  <c r="B439" i="53"/>
  <c r="C28" i="53"/>
  <c r="B651" i="53"/>
  <c r="B257" i="53"/>
  <c r="BC37" i="44" s="1"/>
  <c r="D50" i="53"/>
  <c r="C72" i="53"/>
  <c r="B193" i="53"/>
  <c r="C164" i="53"/>
  <c r="B647" i="53"/>
  <c r="B451" i="53"/>
  <c r="B525" i="53"/>
  <c r="B317" i="53"/>
  <c r="S24" i="73" s="1"/>
  <c r="B382" i="53"/>
  <c r="B167" i="53"/>
  <c r="B7" i="53"/>
  <c r="A4" i="79" s="1"/>
  <c r="C93" i="53"/>
  <c r="D47" i="53"/>
  <c r="B463" i="53"/>
  <c r="B517" i="53"/>
  <c r="B506" i="53"/>
  <c r="B6" i="53"/>
  <c r="B212" i="53"/>
  <c r="B316" i="53"/>
  <c r="V8" i="21" s="1"/>
  <c r="B642" i="53"/>
  <c r="D109" i="53"/>
  <c r="B133" i="53"/>
  <c r="B60" i="53"/>
  <c r="B178" i="53"/>
  <c r="J9" i="71" s="1"/>
  <c r="B297" i="53"/>
  <c r="E31" i="80" s="1"/>
  <c r="B245" i="53"/>
  <c r="K4" i="97" s="1"/>
  <c r="B561" i="53"/>
  <c r="I13" i="81" s="1"/>
  <c r="B266" i="53"/>
  <c r="B475" i="53"/>
  <c r="B228" i="53"/>
  <c r="B309" i="53"/>
  <c r="Q14" i="97" s="1"/>
  <c r="D127" i="53"/>
  <c r="B392" i="53"/>
  <c r="B106" i="53"/>
  <c r="B109" i="53"/>
  <c r="B15" i="53"/>
  <c r="B419" i="53"/>
  <c r="B236" i="53"/>
  <c r="B528" i="53"/>
  <c r="C148" i="53"/>
  <c r="C39" i="53"/>
  <c r="B37" i="53"/>
  <c r="B82" i="53"/>
  <c r="B71" i="53"/>
  <c r="B54" i="53"/>
  <c r="C24" i="53"/>
  <c r="B282" i="53"/>
  <c r="D33" i="53"/>
  <c r="B264" i="53"/>
  <c r="B603" i="53"/>
  <c r="C57" i="53"/>
  <c r="B417" i="53"/>
  <c r="C48" i="53"/>
  <c r="B434" i="53"/>
  <c r="D138" i="53"/>
  <c r="B455" i="53"/>
  <c r="C18" i="53"/>
  <c r="B322" i="53"/>
  <c r="S30" i="73" s="1"/>
  <c r="B241" i="53"/>
  <c r="B305" i="53"/>
  <c r="B252" i="53"/>
  <c r="C19" i="73" s="1"/>
  <c r="B269" i="53"/>
  <c r="B35" i="53"/>
  <c r="B360" i="53"/>
  <c r="B557" i="53"/>
  <c r="C60" i="53"/>
  <c r="B276" i="53"/>
  <c r="B26" i="53"/>
  <c r="B610" i="53"/>
  <c r="B355" i="53"/>
  <c r="C132" i="53"/>
  <c r="D44" i="53"/>
  <c r="B290" i="53"/>
  <c r="B457" i="53"/>
  <c r="C147" i="53"/>
  <c r="B279" i="53"/>
  <c r="B28" i="97" s="1"/>
  <c r="B294" i="53"/>
  <c r="V53" i="21" s="1"/>
  <c r="B514" i="53"/>
  <c r="B625" i="53"/>
  <c r="B37" i="73" s="1"/>
  <c r="C53" i="53"/>
  <c r="B422" i="53"/>
  <c r="B343" i="53"/>
  <c r="B347" i="53"/>
  <c r="B159" i="53"/>
  <c r="B644" i="53"/>
  <c r="B174" i="53"/>
  <c r="B487" i="53"/>
  <c r="B546" i="53"/>
  <c r="B62" i="53"/>
  <c r="B157" i="53"/>
  <c r="Q56" i="79" s="1"/>
  <c r="B218" i="53"/>
  <c r="C28" i="81" s="1"/>
  <c r="B122" i="53"/>
  <c r="B274" i="53"/>
  <c r="B552" i="53"/>
  <c r="B411" i="53"/>
  <c r="B102" i="53"/>
  <c r="O35" i="81" s="1"/>
  <c r="B362" i="53"/>
  <c r="B163" i="53"/>
  <c r="B518" i="53"/>
  <c r="B34" i="53"/>
  <c r="A31" i="79" s="1"/>
  <c r="B551" i="53"/>
  <c r="B247" i="53"/>
  <c r="A38" i="97" s="1"/>
  <c r="D164" i="53"/>
  <c r="B604" i="53"/>
  <c r="B114" i="53"/>
  <c r="B358" i="53"/>
  <c r="B118" i="53"/>
  <c r="B126" i="53"/>
  <c r="B131" i="53"/>
  <c r="B202" i="53"/>
  <c r="B195" i="53"/>
  <c r="B105" i="53"/>
  <c r="B38" i="53"/>
  <c r="B532" i="53"/>
  <c r="C73" i="53"/>
  <c r="D133" i="53"/>
  <c r="C6" i="53"/>
  <c r="D155" i="53"/>
  <c r="B560" i="53"/>
  <c r="D19" i="53"/>
  <c r="C51" i="53"/>
  <c r="B65" i="53"/>
  <c r="B175" i="53"/>
  <c r="AF30" i="32" s="1"/>
  <c r="C96" i="53"/>
  <c r="B307" i="53"/>
  <c r="E9" i="80" s="1"/>
  <c r="D31" i="53"/>
  <c r="B606" i="53"/>
  <c r="C59" i="53"/>
  <c r="B619" i="53"/>
  <c r="B442" i="53"/>
  <c r="B629" i="53"/>
  <c r="M1" i="52" s="1"/>
  <c r="B578" i="53"/>
  <c r="C55" i="53"/>
  <c r="B591" i="53"/>
  <c r="B548" i="53"/>
  <c r="AF9" i="32" s="1"/>
  <c r="B338" i="53"/>
  <c r="B376" i="53"/>
  <c r="C115" i="53"/>
  <c r="B342" i="53"/>
  <c r="C15" i="53"/>
  <c r="B543" i="53"/>
  <c r="B286" i="53"/>
  <c r="B24" i="53"/>
  <c r="D165" i="53"/>
  <c r="B553" i="53"/>
  <c r="B301" i="53"/>
  <c r="E28" i="80" s="1"/>
  <c r="B489" i="53"/>
  <c r="C46" i="53"/>
  <c r="B612" i="53"/>
  <c r="B127" i="53"/>
  <c r="B414" i="53"/>
  <c r="B232" i="53"/>
  <c r="B366" i="53"/>
  <c r="B627" i="53"/>
  <c r="B493" i="53"/>
  <c r="D154" i="53"/>
  <c r="B609" i="53"/>
  <c r="B577" i="53"/>
  <c r="B136" i="53"/>
  <c r="B42" i="53"/>
  <c r="B170" i="53"/>
  <c r="D147" i="53"/>
  <c r="C17" i="53"/>
  <c r="C157" i="53"/>
  <c r="B135" i="53"/>
  <c r="B351" i="53"/>
  <c r="P30" i="32"/>
  <c r="B151" i="53"/>
  <c r="V32" i="79" s="1"/>
  <c r="B653" i="53"/>
  <c r="B8" i="32" s="1"/>
  <c r="B461" i="53"/>
  <c r="B456" i="53"/>
  <c r="C107" i="53"/>
  <c r="B579" i="53"/>
  <c r="B311" i="53"/>
  <c r="E32" i="80" s="1"/>
  <c r="B182" i="53"/>
  <c r="C41" i="53"/>
  <c r="B298" i="53"/>
  <c r="B361" i="53"/>
  <c r="B103" i="53"/>
  <c r="C47" i="53"/>
  <c r="B299" i="53"/>
  <c r="B152" i="53"/>
  <c r="B144" i="53"/>
  <c r="C116" i="53"/>
  <c r="B400" i="53"/>
  <c r="D161" i="53"/>
  <c r="D132" i="53"/>
  <c r="B340" i="53"/>
  <c r="C40" i="53"/>
  <c r="B210" i="53"/>
  <c r="C58" i="53"/>
  <c r="B292" i="53"/>
  <c r="B608" i="53"/>
  <c r="C74" i="53"/>
  <c r="C99" i="53"/>
  <c r="B176" i="53"/>
  <c r="B72" i="53"/>
  <c r="B46" i="53"/>
  <c r="B303" i="53"/>
  <c r="B53" i="53"/>
  <c r="D16" i="53"/>
  <c r="C151" i="53"/>
  <c r="D61" i="53"/>
  <c r="B275" i="53"/>
  <c r="S7" i="73" s="1"/>
  <c r="C120" i="53"/>
  <c r="D115" i="53"/>
  <c r="B405" i="53"/>
  <c r="C142" i="53"/>
  <c r="B80" i="53"/>
  <c r="B564" i="53"/>
  <c r="D41" i="53"/>
  <c r="B370" i="53"/>
  <c r="D106" i="53"/>
  <c r="C165" i="53"/>
  <c r="B188" i="53"/>
  <c r="B535" i="53"/>
  <c r="D156" i="53"/>
  <c r="D51" i="53"/>
  <c r="B616" i="53"/>
  <c r="B339" i="53"/>
  <c r="C159" i="53"/>
  <c r="B649" i="53"/>
  <c r="B611" i="53"/>
  <c r="B383" i="53"/>
  <c r="B213" i="53"/>
  <c r="B408" i="53"/>
  <c r="B559" i="53"/>
  <c r="B448" i="53"/>
  <c r="B483" i="53"/>
  <c r="B534" i="53"/>
  <c r="B435" i="53"/>
  <c r="C113" i="53"/>
  <c r="B104" i="53"/>
  <c r="B28" i="53"/>
  <c r="B523" i="53"/>
  <c r="D158" i="53"/>
  <c r="B527" i="53"/>
  <c r="B271" i="53"/>
  <c r="B201" i="53"/>
  <c r="B33" i="53"/>
  <c r="C38" i="53"/>
  <c r="D120" i="53"/>
  <c r="B357" i="53"/>
  <c r="B129" i="53"/>
  <c r="C156" i="53"/>
  <c r="B124" i="53"/>
  <c r="D27" i="53"/>
  <c r="B348" i="53"/>
  <c r="B165" i="53"/>
  <c r="B415" i="53"/>
  <c r="B86" i="53"/>
  <c r="C154" i="53"/>
  <c r="B295" i="53"/>
  <c r="B478" i="53"/>
  <c r="B565" i="53"/>
  <c r="B119" i="53"/>
  <c r="B161" i="53"/>
  <c r="B344" i="53"/>
  <c r="B429" i="53"/>
  <c r="B418" i="53"/>
  <c r="D9" i="53"/>
  <c r="B160" i="53"/>
  <c r="D30" i="53"/>
  <c r="C91" i="53"/>
  <c r="B318" i="53"/>
  <c r="S26" i="73" s="1"/>
  <c r="B263" i="53"/>
  <c r="B436" i="53"/>
  <c r="B544" i="53"/>
  <c r="B13" i="32" s="1"/>
  <c r="B36" i="53"/>
  <c r="B217" i="53"/>
  <c r="B208" i="53"/>
  <c r="D63" i="53"/>
  <c r="B397" i="53"/>
  <c r="C63" i="53"/>
  <c r="C54" i="53"/>
  <c r="B622" i="53"/>
  <c r="C138" i="53"/>
  <c r="B600" i="53"/>
  <c r="C100" i="53"/>
  <c r="D65" i="53"/>
  <c r="B73" i="53"/>
  <c r="B246" i="53"/>
  <c r="I6" i="80" s="1"/>
  <c r="D53" i="53"/>
  <c r="B260" i="53"/>
  <c r="C129" i="53"/>
  <c r="B492" i="53"/>
  <c r="D150" i="53"/>
  <c r="B550" i="53"/>
  <c r="B27" i="32" s="1"/>
  <c r="B337" i="53"/>
  <c r="B214" i="53"/>
  <c r="B646" i="53"/>
  <c r="D162" i="53"/>
  <c r="B234" i="53"/>
  <c r="B37" i="21" s="1"/>
  <c r="B541" i="53"/>
  <c r="B440" i="53"/>
  <c r="C153" i="53"/>
  <c r="B477" i="53"/>
  <c r="B495" i="53"/>
  <c r="B504" i="53"/>
  <c r="C8" i="53"/>
  <c r="D157" i="53"/>
  <c r="B614" i="53"/>
  <c r="B450" i="53"/>
  <c r="C7" i="53"/>
  <c r="B227" i="53"/>
  <c r="B220" i="53"/>
  <c r="B171" i="53"/>
  <c r="B32" i="32" s="1"/>
  <c r="C136" i="53"/>
  <c r="B23" i="53"/>
  <c r="D129" i="53"/>
  <c r="B285" i="53"/>
  <c r="B369" i="53"/>
  <c r="B278" i="53"/>
  <c r="P2" i="73" s="1"/>
  <c r="B172" i="53"/>
  <c r="E8" i="32" s="1"/>
  <c r="B345" i="53"/>
  <c r="C27" i="53"/>
  <c r="B396" i="53"/>
  <c r="B549" i="53"/>
  <c r="C41" i="81" s="1"/>
  <c r="B526" i="53"/>
  <c r="C21" i="53"/>
  <c r="B319" i="53"/>
  <c r="K48" i="73" s="1"/>
  <c r="D121" i="53"/>
  <c r="B270" i="53"/>
  <c r="C161" i="53"/>
  <c r="B289" i="53"/>
  <c r="B272" i="53"/>
  <c r="C31" i="53"/>
  <c r="D18" i="53"/>
  <c r="B486" i="53"/>
  <c r="B154" i="53"/>
  <c r="B107" i="53"/>
  <c r="B190" i="53"/>
  <c r="B481" i="53"/>
  <c r="B513" i="53"/>
  <c r="D72" i="53"/>
  <c r="C35" i="53"/>
  <c r="C30" i="53"/>
  <c r="B259" i="53"/>
  <c r="B443" i="53"/>
  <c r="D60" i="53"/>
  <c r="B230" i="53"/>
  <c r="B631" i="53"/>
  <c r="Q1" i="52" s="1"/>
  <c r="R63" i="52" s="1"/>
  <c r="B14" i="53"/>
  <c r="D101" i="53"/>
  <c r="C43" i="53"/>
  <c r="B112" i="53"/>
  <c r="B592" i="53"/>
  <c r="B410" i="53"/>
  <c r="B446" i="53"/>
  <c r="B430" i="53"/>
  <c r="B458" i="53"/>
  <c r="B447" i="53"/>
  <c r="C71" i="53"/>
  <c r="D152" i="53"/>
  <c r="D49" i="53"/>
  <c r="B637" i="53"/>
  <c r="B113" i="53"/>
  <c r="B416" i="53"/>
  <c r="B185" i="53"/>
  <c r="B11" i="53"/>
  <c r="B511" i="53"/>
  <c r="B189" i="53"/>
  <c r="B373" i="53"/>
  <c r="B533" i="53"/>
  <c r="C19" i="53"/>
  <c r="D100" i="53"/>
  <c r="C95" i="53"/>
  <c r="B277" i="53"/>
  <c r="B425" i="53"/>
  <c r="B576" i="53"/>
  <c r="D6" i="53"/>
  <c r="B368" i="53"/>
  <c r="B590" i="53"/>
  <c r="B346" i="53"/>
  <c r="B197" i="53"/>
  <c r="D137" i="53"/>
  <c r="B542" i="53"/>
  <c r="B401" i="53"/>
  <c r="B462" i="53"/>
  <c r="B181" i="53"/>
  <c r="B501" i="53"/>
  <c r="B200" i="53"/>
  <c r="B452" i="53"/>
  <c r="D10" i="53"/>
  <c r="B95" i="53"/>
  <c r="V12" i="96" s="1"/>
  <c r="B624" i="53"/>
  <c r="B423" i="53"/>
  <c r="B16" i="53"/>
  <c r="A13" i="79" s="1"/>
  <c r="C109" i="53"/>
  <c r="D113" i="53"/>
  <c r="B206" i="53"/>
  <c r="B556" i="53"/>
  <c r="B186" i="53"/>
  <c r="B334" i="53"/>
  <c r="B371" i="53"/>
  <c r="B64" i="53"/>
  <c r="B520" i="53"/>
  <c r="B587" i="53"/>
  <c r="B244" i="53"/>
  <c r="B162" i="53"/>
  <c r="B508" i="53"/>
  <c r="D166" i="53"/>
  <c r="B235" i="53"/>
  <c r="B128" i="53"/>
  <c r="C134" i="53"/>
  <c r="C62" i="53"/>
  <c r="B388" i="53"/>
  <c r="B433" i="53"/>
  <c r="B626" i="53"/>
  <c r="B306" i="53"/>
  <c r="E8" i="80" s="1"/>
  <c r="D39" i="53"/>
  <c r="C122" i="53"/>
  <c r="C128" i="53"/>
  <c r="B632" i="53"/>
  <c r="S1" i="52" s="1"/>
  <c r="T5" i="52" s="1"/>
  <c r="B584" i="53"/>
  <c r="E30" i="52" s="1"/>
  <c r="B536" i="53"/>
  <c r="C137" i="53"/>
  <c r="D119" i="53"/>
  <c r="C117" i="53"/>
  <c r="B47" i="53"/>
  <c r="C42" i="53"/>
  <c r="C69" i="53"/>
  <c r="D69" i="53"/>
  <c r="B149" i="53"/>
  <c r="B658" i="53"/>
  <c r="C29" i="96" s="1"/>
  <c r="EN4" i="50"/>
  <c r="C149" i="53"/>
  <c r="AW16" i="32"/>
  <c r="AW15" i="32"/>
  <c r="X3" i="50"/>
  <c r="A53" i="79"/>
  <c r="F19" i="79"/>
  <c r="S10" i="79"/>
  <c r="F57" i="52"/>
  <c r="F31" i="52"/>
  <c r="F60" i="52"/>
  <c r="F52" i="52"/>
  <c r="F23" i="52"/>
  <c r="F53" i="52"/>
  <c r="V6" i="96"/>
  <c r="D80" i="53"/>
  <c r="E23" i="80"/>
  <c r="AL5" i="71" s="1"/>
  <c r="C79" i="53"/>
  <c r="F5" i="32"/>
  <c r="AD8" i="81"/>
  <c r="E24" i="73"/>
  <c r="P4" i="81"/>
  <c r="U6" i="50"/>
  <c r="A55" i="50"/>
  <c r="BG193" i="6"/>
  <c r="BC34" i="6"/>
  <c r="AM36" i="6" s="1"/>
  <c r="AN36" i="6" s="1"/>
  <c r="AO36" i="6" s="1"/>
  <c r="BH33" i="6"/>
  <c r="BC42" i="6"/>
  <c r="BF86" i="6"/>
  <c r="BF80" i="6"/>
  <c r="BD96" i="6"/>
  <c r="BE96" i="6" s="1"/>
  <c r="BD100" i="6"/>
  <c r="BE100" i="6" s="1"/>
  <c r="BD85" i="6"/>
  <c r="BE85" i="6" s="1"/>
  <c r="BF36" i="6"/>
  <c r="BB201" i="6"/>
  <c r="BF203" i="6"/>
  <c r="BF199" i="6"/>
  <c r="BG200" i="6"/>
  <c r="BH32" i="6"/>
  <c r="BH40" i="6"/>
  <c r="BC28" i="6"/>
  <c r="AM30" i="6" s="1"/>
  <c r="AN30" i="6" s="1"/>
  <c r="AO30" i="6" s="1"/>
  <c r="BD216" i="6"/>
  <c r="BE216" i="6" s="1"/>
  <c r="BD188" i="6"/>
  <c r="BE188" i="6" s="1"/>
  <c r="BD224" i="6"/>
  <c r="BE224" i="6" s="1"/>
  <c r="BD203" i="6"/>
  <c r="BE203" i="6" s="1"/>
  <c r="BD193" i="6"/>
  <c r="BE193" i="6" s="1"/>
  <c r="BC303" i="6"/>
  <c r="BG257" i="6"/>
  <c r="BF84" i="6"/>
  <c r="BB194" i="6"/>
  <c r="BG192" i="6"/>
  <c r="BH34" i="6"/>
  <c r="BH26" i="6"/>
  <c r="BD196" i="6"/>
  <c r="BE196" i="6" s="1"/>
  <c r="BD202" i="6"/>
  <c r="BE202" i="6" s="1"/>
  <c r="BD225" i="6"/>
  <c r="BE225" i="6" s="1"/>
  <c r="BG245" i="6"/>
  <c r="BG188" i="6"/>
  <c r="BH35" i="6"/>
  <c r="BC31" i="6"/>
  <c r="AM33" i="6" s="1"/>
  <c r="AN33" i="6" s="1"/>
  <c r="AO33" i="6" s="1"/>
  <c r="BC29" i="6"/>
  <c r="AM31" i="6" s="1"/>
  <c r="AN31" i="6" s="1"/>
  <c r="AO31" i="6" s="1"/>
  <c r="BG250" i="6"/>
  <c r="BF87" i="6"/>
  <c r="BD110" i="6"/>
  <c r="BE110" i="6" s="1"/>
  <c r="BD103" i="6"/>
  <c r="BE103" i="6" s="1"/>
  <c r="BD109" i="6"/>
  <c r="BE109" i="6" s="1"/>
  <c r="BD80" i="6"/>
  <c r="BE80" i="6" s="1"/>
  <c r="BD99" i="6"/>
  <c r="BE99" i="6" s="1"/>
  <c r="BF32" i="6"/>
  <c r="BF29" i="6"/>
  <c r="BB200" i="6"/>
  <c r="BF191" i="6"/>
  <c r="BF190" i="6"/>
  <c r="BG187" i="6"/>
  <c r="BH30" i="6"/>
  <c r="BC27" i="6"/>
  <c r="AM29" i="6" s="1"/>
  <c r="AN29" i="6" s="1"/>
  <c r="AO29" i="6" s="1"/>
  <c r="BD220" i="6"/>
  <c r="BE220" i="6" s="1"/>
  <c r="BD212" i="6"/>
  <c r="BE212" i="6" s="1"/>
  <c r="BC304" i="6"/>
  <c r="BC307" i="6"/>
  <c r="BG242" i="6"/>
  <c r="BG256" i="6"/>
  <c r="BF81" i="6"/>
  <c r="BD98" i="6"/>
  <c r="BE98" i="6" s="1"/>
  <c r="BF27" i="6"/>
  <c r="BB203" i="6"/>
  <c r="BF195" i="6"/>
  <c r="BG195" i="6"/>
  <c r="BG201" i="6"/>
  <c r="BH31" i="6"/>
  <c r="BC39" i="6"/>
  <c r="BD204" i="6"/>
  <c r="BE204" i="6" s="1"/>
  <c r="BD218" i="6"/>
  <c r="BE218" i="6" s="1"/>
  <c r="BD213" i="6"/>
  <c r="BE213" i="6" s="1"/>
  <c r="BD211" i="6"/>
  <c r="BE211" i="6" s="1"/>
  <c r="BC295" i="6"/>
  <c r="BC310" i="6"/>
  <c r="BB37" i="6"/>
  <c r="BG199" i="6"/>
  <c r="BF92" i="6"/>
  <c r="BB193" i="6"/>
  <c r="BB199" i="6"/>
  <c r="BG189" i="6"/>
  <c r="BG194" i="6"/>
  <c r="BH36" i="6"/>
  <c r="BC32" i="6"/>
  <c r="AM34" i="6" s="1"/>
  <c r="AN34" i="6" s="1"/>
  <c r="AO34" i="6" s="1"/>
  <c r="BD209" i="6"/>
  <c r="BE209" i="6" s="1"/>
  <c r="BD201" i="6"/>
  <c r="BE201" i="6" s="1"/>
  <c r="BD190" i="6"/>
  <c r="BE190" i="6" s="1"/>
  <c r="AB21" i="2"/>
  <c r="X21" i="2" s="1"/>
  <c r="AB16" i="2"/>
  <c r="X16" i="2" s="1"/>
  <c r="BC38" i="6"/>
  <c r="BF91" i="6"/>
  <c r="BD119" i="6"/>
  <c r="BE119" i="6" s="1"/>
  <c r="BD92" i="6"/>
  <c r="BE92" i="6" s="1"/>
  <c r="BD105" i="6"/>
  <c r="BE105" i="6" s="1"/>
  <c r="BD81" i="6"/>
  <c r="BE81" i="6" s="1"/>
  <c r="BD90" i="6"/>
  <c r="BE90" i="6" s="1"/>
  <c r="BB192" i="6"/>
  <c r="BB191" i="6"/>
  <c r="BG191" i="6"/>
  <c r="BG196" i="6"/>
  <c r="BH37" i="6"/>
  <c r="BC40" i="6"/>
  <c r="BC30" i="6"/>
  <c r="AM32" i="6" s="1"/>
  <c r="AN32" i="6" s="1"/>
  <c r="AO32" i="6" s="1"/>
  <c r="BD195" i="6"/>
  <c r="BE195" i="6" s="1"/>
  <c r="BD194" i="6"/>
  <c r="BE194" i="6" s="1"/>
  <c r="BD187" i="6"/>
  <c r="BE187" i="6" s="1"/>
  <c r="BC309" i="6"/>
  <c r="AL25" i="6"/>
  <c r="AB26" i="2"/>
  <c r="X26" i="2" s="1"/>
  <c r="BF95" i="6"/>
  <c r="BF83" i="6"/>
  <c r="BB187" i="6"/>
  <c r="BB202" i="6"/>
  <c r="BG203" i="6"/>
  <c r="BG202" i="6"/>
  <c r="BH28" i="6"/>
  <c r="BC37" i="6"/>
  <c r="BC35" i="6"/>
  <c r="AM37" i="6" s="1"/>
  <c r="AN37" i="6" s="1"/>
  <c r="AO37" i="6" s="1"/>
  <c r="BD210" i="6"/>
  <c r="BE210" i="6" s="1"/>
  <c r="BD227" i="6"/>
  <c r="BE227" i="6" s="1"/>
  <c r="BD206" i="6"/>
  <c r="BE206" i="6" s="1"/>
  <c r="BD222" i="6"/>
  <c r="BE222" i="6" s="1"/>
  <c r="AB28" i="2"/>
  <c r="X28" i="2" s="1"/>
  <c r="BF79" i="6"/>
  <c r="BD116" i="6"/>
  <c r="BE116" i="6" s="1"/>
  <c r="BD114" i="6"/>
  <c r="BE114" i="6" s="1"/>
  <c r="BB188" i="6"/>
  <c r="BG198" i="6"/>
  <c r="BH38" i="6"/>
  <c r="BH27" i="6"/>
  <c r="BD192" i="6"/>
  <c r="BE192" i="6" s="1"/>
  <c r="BD200" i="6"/>
  <c r="BE200" i="6" s="1"/>
  <c r="AB73" i="2"/>
  <c r="AB67" i="2"/>
  <c r="X67" i="2" s="1"/>
  <c r="AB64" i="2"/>
  <c r="X64" i="2" s="1"/>
  <c r="AB61" i="2"/>
  <c r="X61" i="2" s="1"/>
  <c r="AB58" i="2"/>
  <c r="X58" i="2" s="1"/>
  <c r="AB55" i="2"/>
  <c r="X55" i="2" s="1"/>
  <c r="AB50" i="2"/>
  <c r="X50" i="2" s="1"/>
  <c r="AB35" i="2"/>
  <c r="X35" i="2" s="1"/>
  <c r="AB23" i="2"/>
  <c r="X23" i="2" s="1"/>
  <c r="AJ37" i="32"/>
  <c r="AJ38" i="32"/>
  <c r="AJ40" i="32"/>
  <c r="AJ39" i="32"/>
  <c r="AM38" i="6"/>
  <c r="AN38" i="6" s="1"/>
  <c r="AO38" i="6" s="1"/>
  <c r="AP27" i="6" a="1"/>
  <c r="AH110" i="6"/>
  <c r="AH117" i="6"/>
  <c r="AH116" i="6"/>
  <c r="AH121" i="6"/>
  <c r="AH126" i="6"/>
  <c r="AI107" i="6" s="1"/>
  <c r="AH103" i="6"/>
  <c r="AH122" i="6"/>
  <c r="AI103" i="6" s="1"/>
  <c r="AH105" i="6"/>
  <c r="AH108" i="6"/>
  <c r="AH111" i="6"/>
  <c r="AH118" i="6"/>
  <c r="AH115" i="6"/>
  <c r="AH125" i="6"/>
  <c r="AI106" i="6" s="1"/>
  <c r="AH123" i="6"/>
  <c r="AI104" i="6" s="1"/>
  <c r="AH112" i="6"/>
  <c r="AH339" i="6"/>
  <c r="AI320" i="6" s="1"/>
  <c r="BC256" i="6"/>
  <c r="BC248" i="6"/>
  <c r="AN202" i="6"/>
  <c r="AO202" i="6" s="1"/>
  <c r="BC250" i="6"/>
  <c r="C410" i="6"/>
  <c r="AH324" i="6"/>
  <c r="BC258" i="6"/>
  <c r="AN143" i="6"/>
  <c r="AO143" i="6" s="1"/>
  <c r="AF134" i="6"/>
  <c r="AF135" i="6"/>
  <c r="AI134" i="6"/>
  <c r="AF133" i="6"/>
  <c r="AF136" i="6"/>
  <c r="AH325" i="6"/>
  <c r="AH337" i="6"/>
  <c r="AH338" i="6"/>
  <c r="AI319" i="6" s="1"/>
  <c r="AY221" i="6"/>
  <c r="AY57" i="6"/>
  <c r="BC241" i="6"/>
  <c r="BC243" i="6"/>
  <c r="AP243" i="6" a="1"/>
  <c r="AA299" i="6"/>
  <c r="AE299" i="6" s="1"/>
  <c r="AA137" i="6"/>
  <c r="AE137" i="6" s="1"/>
  <c r="AA191" i="6"/>
  <c r="AE191" i="6" s="1"/>
  <c r="AP297" i="6" a="1"/>
  <c r="BC245" i="6"/>
  <c r="AN144" i="6"/>
  <c r="AO144" i="6" s="1"/>
  <c r="BC247" i="6"/>
  <c r="BC255" i="6"/>
  <c r="BC252" i="6"/>
  <c r="BC251" i="6"/>
  <c r="AN200" i="6"/>
  <c r="AO200" i="6" s="1"/>
  <c r="BG243" i="6"/>
  <c r="BG249" i="6"/>
  <c r="BG247" i="6"/>
  <c r="BG252" i="6"/>
  <c r="BG241" i="6"/>
  <c r="BG253" i="6"/>
  <c r="BG244" i="6"/>
  <c r="BG246" i="6"/>
  <c r="AN90" i="6"/>
  <c r="AO90" i="6" s="1"/>
  <c r="AA83" i="6"/>
  <c r="AE83" i="6" s="1"/>
  <c r="AA245" i="6"/>
  <c r="AE245" i="6" s="1"/>
  <c r="AP81" i="6" a="1"/>
  <c r="AA29" i="6"/>
  <c r="AE29" i="6" s="1"/>
  <c r="AU26" i="6" s="1"/>
  <c r="AW26" i="6" s="1"/>
  <c r="AH25" i="6" s="1"/>
  <c r="AI25" i="6" s="1"/>
  <c r="AP189" i="6" a="1"/>
  <c r="AP135" i="6" a="1"/>
  <c r="B453" i="6"/>
  <c r="C453" i="6" s="1"/>
  <c r="D445" i="6"/>
  <c r="AC46" i="2"/>
  <c r="C388" i="6"/>
  <c r="BB31" i="6"/>
  <c r="AI252" i="6"/>
  <c r="AR276" i="6"/>
  <c r="AX276" i="6" s="1"/>
  <c r="AI251" i="6"/>
  <c r="AS56" i="6"/>
  <c r="AY56" i="6" s="1"/>
  <c r="D456" i="6"/>
  <c r="B464" i="6"/>
  <c r="C464" i="6" s="1"/>
  <c r="D406" i="6"/>
  <c r="AC17" i="2"/>
  <c r="B414" i="6"/>
  <c r="AP77" i="6" s="1"/>
  <c r="AR77" i="6" s="1"/>
  <c r="AS77" i="6" s="1"/>
  <c r="BB34" i="6"/>
  <c r="AI259" i="6"/>
  <c r="AR277" i="6"/>
  <c r="AX277" i="6" s="1"/>
  <c r="BD241" i="6" a="1"/>
  <c r="AI258" i="6"/>
  <c r="AI247" i="6"/>
  <c r="AM247" i="6" s="1"/>
  <c r="AN252" i="6"/>
  <c r="AO252" i="6" s="1"/>
  <c r="C391" i="6"/>
  <c r="AS111" i="6"/>
  <c r="AY111" i="6" s="1"/>
  <c r="B113" i="6"/>
  <c r="B59" i="6"/>
  <c r="B167" i="6"/>
  <c r="B221" i="6"/>
  <c r="B275" i="6"/>
  <c r="B36" i="2"/>
  <c r="B487" i="6"/>
  <c r="AN39" i="6" s="1"/>
  <c r="AO39" i="6" s="1"/>
  <c r="E387" i="6"/>
  <c r="C387" i="6"/>
  <c r="D387" i="6"/>
  <c r="C383" i="6"/>
  <c r="D383" i="6"/>
  <c r="BB32" i="6"/>
  <c r="AR275" i="6"/>
  <c r="AX275" i="6" s="1"/>
  <c r="AP277" i="6"/>
  <c r="AW277" i="6" s="1"/>
  <c r="BB241" i="6" a="1"/>
  <c r="AI249" i="6"/>
  <c r="AI261" i="6"/>
  <c r="AI260" i="6"/>
  <c r="AN311" i="6"/>
  <c r="AO311" i="6" s="1"/>
  <c r="BG305" i="6"/>
  <c r="BG308" i="6"/>
  <c r="BG310" i="6"/>
  <c r="BG311" i="6"/>
  <c r="AD43" i="73"/>
  <c r="AS324" i="6"/>
  <c r="AE136" i="6"/>
  <c r="AE244" i="6"/>
  <c r="AE28" i="6"/>
  <c r="C375" i="6"/>
  <c r="W22" i="2"/>
  <c r="B356" i="6"/>
  <c r="C379" i="6"/>
  <c r="E385" i="6"/>
  <c r="E361" i="6"/>
  <c r="D369" i="6"/>
  <c r="E373" i="6"/>
  <c r="D376" i="6"/>
  <c r="E358" i="6"/>
  <c r="E370" i="6"/>
  <c r="C389" i="6"/>
  <c r="C362" i="6"/>
  <c r="E366" i="6"/>
  <c r="E372" i="6"/>
  <c r="C359" i="6"/>
  <c r="C368" i="6"/>
  <c r="E384" i="6"/>
  <c r="D380" i="6"/>
  <c r="C365" i="6"/>
  <c r="D384" i="6"/>
  <c r="C372" i="6"/>
  <c r="D377" i="6"/>
  <c r="E379" i="6"/>
  <c r="V16" i="17"/>
  <c r="D365" i="6"/>
  <c r="D360" i="6"/>
  <c r="C370" i="6"/>
  <c r="C364" i="6"/>
  <c r="C531" i="6"/>
  <c r="B497" i="6"/>
  <c r="C520" i="6"/>
  <c r="C480" i="6"/>
  <c r="C530" i="6"/>
  <c r="B367" i="6"/>
  <c r="W32" i="2"/>
  <c r="M28" i="2"/>
  <c r="AD32" i="73" s="1"/>
  <c r="M29" i="2"/>
  <c r="AD34" i="73" s="1"/>
  <c r="AS165" i="6"/>
  <c r="AS109" i="6"/>
  <c r="AY109" i="6" s="1"/>
  <c r="B428" i="6"/>
  <c r="C428" i="6" s="1"/>
  <c r="D420" i="6"/>
  <c r="AC21" i="2"/>
  <c r="D359" i="6"/>
  <c r="AN276" i="6"/>
  <c r="AU276" i="6" s="1"/>
  <c r="AN275" i="6"/>
  <c r="AU275" i="6" s="1"/>
  <c r="AY275" i="6" s="1"/>
  <c r="AI244" i="6"/>
  <c r="AM244" i="6" s="1"/>
  <c r="AN244" i="6" s="1"/>
  <c r="AO244" i="6" s="1"/>
  <c r="AN310" i="6"/>
  <c r="AO310" i="6" s="1"/>
  <c r="AN255" i="6"/>
  <c r="AO255" i="6" s="1"/>
  <c r="C382" i="6"/>
  <c r="C358" i="6"/>
  <c r="AR330" i="6"/>
  <c r="AX330" i="6" s="1"/>
  <c r="AI301" i="6"/>
  <c r="AM301" i="6" s="1"/>
  <c r="AN301" i="6" s="1"/>
  <c r="AO301" i="6" s="1"/>
  <c r="AI304" i="6"/>
  <c r="AI303" i="6"/>
  <c r="AI317" i="6"/>
  <c r="AP329" i="6"/>
  <c r="AW329" i="6" s="1"/>
  <c r="AI300" i="6"/>
  <c r="AM300" i="6" s="1"/>
  <c r="AN300" i="6" s="1"/>
  <c r="AO300" i="6" s="1"/>
  <c r="AR329" i="6"/>
  <c r="AX329" i="6" s="1"/>
  <c r="AI305" i="6"/>
  <c r="BD295" i="6" a="1"/>
  <c r="AI314" i="6"/>
  <c r="BB295" i="6" a="1"/>
  <c r="AI307" i="6"/>
  <c r="AN332" i="6"/>
  <c r="AU332" i="6" s="1"/>
  <c r="AY332" i="6" s="1"/>
  <c r="AI315" i="6"/>
  <c r="AL323" i="6"/>
  <c r="AS323" i="6" s="1"/>
  <c r="AY323" i="6" s="1"/>
  <c r="AI310" i="6"/>
  <c r="BF295" i="6" a="1"/>
  <c r="AI297" i="6"/>
  <c r="AM297" i="6" s="1"/>
  <c r="AN297" i="6" s="1"/>
  <c r="AO297" i="6" s="1"/>
  <c r="AI309" i="6"/>
  <c r="AN331" i="6"/>
  <c r="AU331" i="6" s="1"/>
  <c r="AP332" i="6"/>
  <c r="AW332" i="6" s="1"/>
  <c r="AI312" i="6"/>
  <c r="AI316" i="6"/>
  <c r="AN330" i="6"/>
  <c r="AU330" i="6" s="1"/>
  <c r="AP331" i="6"/>
  <c r="AW331" i="6" s="1"/>
  <c r="AR332" i="6"/>
  <c r="AX332" i="6" s="1"/>
  <c r="AP330" i="6"/>
  <c r="AW330" i="6" s="1"/>
  <c r="AI313" i="6"/>
  <c r="AN329" i="6"/>
  <c r="AU329" i="6" s="1"/>
  <c r="AY329" i="6" s="1"/>
  <c r="AR331" i="6"/>
  <c r="AX331" i="6" s="1"/>
  <c r="AI308" i="6"/>
  <c r="AS222" i="6"/>
  <c r="AY222" i="6" s="1"/>
  <c r="AS276" i="6"/>
  <c r="AS330" i="6"/>
  <c r="AY330" i="6" s="1"/>
  <c r="AS113" i="6"/>
  <c r="AY113" i="6" s="1"/>
  <c r="AS116" i="6"/>
  <c r="AY116" i="6" s="1"/>
  <c r="AS223" i="6"/>
  <c r="AS277" i="6"/>
  <c r="AS114" i="6"/>
  <c r="AY114" i="6" s="1"/>
  <c r="AJ23" i="6"/>
  <c r="AM23" i="6" s="1"/>
  <c r="AJ77" i="6"/>
  <c r="AM77" i="6" s="1"/>
  <c r="C355" i="6"/>
  <c r="AG77" i="6"/>
  <c r="AH77" i="6" s="1"/>
  <c r="AI77" i="6" s="1"/>
  <c r="D355" i="6"/>
  <c r="D351" i="6"/>
  <c r="AY165" i="6"/>
  <c r="AN308" i="6"/>
  <c r="AO308" i="6" s="1"/>
  <c r="P18" i="2"/>
  <c r="P21" i="2" s="1"/>
  <c r="M24" i="2" s="1"/>
  <c r="O18" i="2"/>
  <c r="O21" i="2" s="1"/>
  <c r="M25" i="2" s="1"/>
  <c r="AS219" i="6"/>
  <c r="AY219" i="6" s="1"/>
  <c r="AS108" i="6"/>
  <c r="AY108" i="6" s="1"/>
  <c r="D374" i="6"/>
  <c r="C374" i="6"/>
  <c r="AP276" i="6"/>
  <c r="AW276" i="6" s="1"/>
  <c r="AL269" i="6"/>
  <c r="AS269" i="6" s="1"/>
  <c r="AY269" i="6" s="1"/>
  <c r="AI248" i="6"/>
  <c r="AM248" i="6" s="1"/>
  <c r="AN248" i="6" s="1"/>
  <c r="AO248" i="6" s="1"/>
  <c r="AI255" i="6"/>
  <c r="AY54" i="6"/>
  <c r="AN147" i="6"/>
  <c r="AO147" i="6" s="1"/>
  <c r="AK31" i="73"/>
  <c r="AC30" i="73" s="1"/>
  <c r="M26" i="2"/>
  <c r="AD28" i="73" s="1"/>
  <c r="AS58" i="6"/>
  <c r="AY58" i="6" s="1"/>
  <c r="AS325" i="6"/>
  <c r="AY325" i="6" s="1"/>
  <c r="AS54" i="6"/>
  <c r="AS326" i="6"/>
  <c r="AY326" i="6" s="1"/>
  <c r="AS327" i="6"/>
  <c r="AY327" i="6" s="1"/>
  <c r="AS110" i="6"/>
  <c r="AY110" i="6" s="1"/>
  <c r="AS163" i="6"/>
  <c r="AY163" i="6" s="1"/>
  <c r="AS220" i="6"/>
  <c r="AY220" i="6" s="1"/>
  <c r="AS274" i="6"/>
  <c r="AY274" i="6" s="1"/>
  <c r="AS328" i="6"/>
  <c r="AY328" i="6" s="1"/>
  <c r="AS57" i="6"/>
  <c r="AG136" i="6"/>
  <c r="AF131" i="6" s="1"/>
  <c r="AG244" i="6"/>
  <c r="AF239" i="6" s="1"/>
  <c r="AG82" i="6"/>
  <c r="AF77" i="6" s="1"/>
  <c r="AG298" i="6"/>
  <c r="AF293" i="6" s="1"/>
  <c r="D427" i="6"/>
  <c r="B435" i="6"/>
  <c r="C435" i="6" s="1"/>
  <c r="AC28" i="2"/>
  <c r="B381" i="6"/>
  <c r="W46" i="2"/>
  <c r="AN251" i="6"/>
  <c r="AO251" i="6" s="1"/>
  <c r="AN249" i="6"/>
  <c r="AO249" i="6" s="1"/>
  <c r="AS218" i="6"/>
  <c r="AY218" i="6" s="1"/>
  <c r="AY324" i="6"/>
  <c r="AS272" i="6"/>
  <c r="AY272" i="6" s="1"/>
  <c r="AS217" i="6"/>
  <c r="AY217" i="6" s="1"/>
  <c r="AF299" i="6"/>
  <c r="AT27" i="6"/>
  <c r="F942" i="30"/>
  <c r="B137" i="53"/>
  <c r="E391" i="6"/>
  <c r="C378" i="6"/>
  <c r="C376" i="6"/>
  <c r="D362" i="6"/>
  <c r="E360" i="6"/>
  <c r="B99" i="53"/>
  <c r="B451" i="6"/>
  <c r="C451" i="6" s="1"/>
  <c r="E382" i="6"/>
  <c r="AB145" i="6"/>
  <c r="AT60" i="6"/>
  <c r="AY60" i="6" s="1"/>
  <c r="F941" i="30"/>
  <c r="B138" i="53"/>
  <c r="B140" i="53"/>
  <c r="C523" i="6"/>
  <c r="AT277" i="6"/>
  <c r="AT223" i="6"/>
  <c r="AF190" i="6"/>
  <c r="AB91" i="6"/>
  <c r="B116" i="53"/>
  <c r="AN197" i="6"/>
  <c r="AO197" i="6" s="1"/>
  <c r="AN256" i="6"/>
  <c r="AO256" i="6" s="1"/>
  <c r="AN149" i="6"/>
  <c r="AO149" i="6" s="1"/>
  <c r="AF83" i="6"/>
  <c r="AT167" i="6"/>
  <c r="C74" i="6"/>
  <c r="B120" i="53"/>
  <c r="B150" i="53"/>
  <c r="M27" i="2"/>
  <c r="AD30" i="73" s="1"/>
  <c r="D370" i="6"/>
  <c r="E368" i="6"/>
  <c r="D352" i="6"/>
  <c r="AS29" i="6"/>
  <c r="AN201" i="6"/>
  <c r="AO201" i="6" s="1"/>
  <c r="AB24" i="2"/>
  <c r="X24" i="2" s="1"/>
  <c r="AU28" i="6"/>
  <c r="G944" i="30"/>
  <c r="B121" i="53"/>
  <c r="AF187" i="6"/>
  <c r="D102" i="53"/>
  <c r="B123" i="53"/>
  <c r="C102" i="53"/>
  <c r="F943" i="30"/>
  <c r="B125" i="53"/>
  <c r="D149" i="53"/>
  <c r="A60" i="61" l="1"/>
  <c r="F17" i="61"/>
  <c r="A60" i="63"/>
  <c r="F17" i="63"/>
  <c r="F17" i="59"/>
  <c r="A60" i="59"/>
  <c r="S23" i="59"/>
  <c r="S23" i="63"/>
  <c r="R9" i="63"/>
  <c r="S23" i="61"/>
  <c r="R9" i="61"/>
  <c r="Q23" i="63"/>
  <c r="Q23" i="61"/>
  <c r="Q23" i="59"/>
  <c r="R9" i="59"/>
  <c r="F16" i="63"/>
  <c r="A59" i="61"/>
  <c r="F16" i="59"/>
  <c r="A59" i="63"/>
  <c r="F16" i="61"/>
  <c r="A59" i="59"/>
  <c r="S4" i="61"/>
  <c r="S4" i="63"/>
  <c r="Q4" i="63"/>
  <c r="S4" i="59"/>
  <c r="Q4" i="59"/>
  <c r="Q4" i="61"/>
  <c r="Q55" i="61"/>
  <c r="V33" i="63"/>
  <c r="Q55" i="59"/>
  <c r="Q55" i="63"/>
  <c r="V33" i="59"/>
  <c r="U33" i="59"/>
  <c r="R35" i="63"/>
  <c r="U33" i="63"/>
  <c r="V33" i="61"/>
  <c r="R35" i="59"/>
  <c r="U33" i="61"/>
  <c r="R35" i="61"/>
  <c r="S9" i="63"/>
  <c r="Q27" i="61"/>
  <c r="Q27" i="59"/>
  <c r="Q27" i="63"/>
  <c r="S9" i="61"/>
  <c r="S9" i="59"/>
  <c r="A26" i="59"/>
  <c r="A26" i="63"/>
  <c r="A26" i="61"/>
  <c r="FA7" i="63"/>
  <c r="FA7" i="61"/>
  <c r="FA7" i="59"/>
  <c r="X4" i="63"/>
  <c r="X4" i="61"/>
  <c r="X4" i="59"/>
  <c r="A37" i="61"/>
  <c r="A37" i="59"/>
  <c r="A37" i="63"/>
  <c r="V8" i="61"/>
  <c r="U8" i="61"/>
  <c r="Q29" i="61"/>
  <c r="V8" i="63"/>
  <c r="U8" i="63"/>
  <c r="Q29" i="63"/>
  <c r="V8" i="59"/>
  <c r="U8" i="59"/>
  <c r="R11" i="59"/>
  <c r="R11" i="63"/>
  <c r="R11" i="61"/>
  <c r="Q29" i="59"/>
  <c r="A40" i="61"/>
  <c r="A40" i="59"/>
  <c r="A40" i="63"/>
  <c r="BY6" i="61"/>
  <c r="BY35" i="61"/>
  <c r="BY6" i="63"/>
  <c r="BY35" i="59"/>
  <c r="BY35" i="63"/>
  <c r="BY6" i="59"/>
  <c r="A42" i="61"/>
  <c r="A42" i="63"/>
  <c r="A42" i="59"/>
  <c r="A16" i="61"/>
  <c r="A16" i="63"/>
  <c r="A16" i="59"/>
  <c r="FC13" i="63"/>
  <c r="A54" i="61"/>
  <c r="FC13" i="61"/>
  <c r="A54" i="63"/>
  <c r="A54" i="59"/>
  <c r="FC13" i="59"/>
  <c r="FC6" i="61"/>
  <c r="FC6" i="63"/>
  <c r="FC6" i="59"/>
  <c r="A5" i="59"/>
  <c r="A5" i="63"/>
  <c r="A5" i="61"/>
  <c r="A8" i="63"/>
  <c r="A8" i="61"/>
  <c r="A8" i="59"/>
  <c r="BY3" i="61"/>
  <c r="BY32" i="63"/>
  <c r="BY3" i="63"/>
  <c r="BY32" i="61"/>
  <c r="BY3" i="59"/>
  <c r="BY32" i="59"/>
  <c r="BY34" i="61"/>
  <c r="BY5" i="63"/>
  <c r="BY34" i="59"/>
  <c r="BY34" i="63"/>
  <c r="BY5" i="61"/>
  <c r="BY5" i="59"/>
  <c r="A66" i="61"/>
  <c r="A66" i="59"/>
  <c r="A66" i="63"/>
  <c r="A39" i="63"/>
  <c r="A39" i="61"/>
  <c r="A39" i="59"/>
  <c r="S5" i="61"/>
  <c r="Q5" i="61"/>
  <c r="S5" i="63"/>
  <c r="Q5" i="63"/>
  <c r="S5" i="59"/>
  <c r="Q5" i="59"/>
  <c r="S10" i="61"/>
  <c r="S10" i="63"/>
  <c r="Q6" i="61"/>
  <c r="S10" i="59"/>
  <c r="Q6" i="63"/>
  <c r="Q6" i="59"/>
  <c r="F15" i="59"/>
  <c r="A58" i="63"/>
  <c r="F15" i="63"/>
  <c r="A58" i="61"/>
  <c r="F15" i="61"/>
  <c r="A58" i="59"/>
  <c r="A65" i="63"/>
  <c r="A65" i="61"/>
  <c r="A65" i="59"/>
  <c r="A41" i="59"/>
  <c r="A41" i="63"/>
  <c r="A41" i="61"/>
  <c r="BQ2" i="63"/>
  <c r="DP2" i="61"/>
  <c r="DP2" i="59"/>
  <c r="BQ2" i="59"/>
  <c r="BQ2" i="61"/>
  <c r="DP2" i="63"/>
  <c r="A56" i="59"/>
  <c r="A56" i="61"/>
  <c r="A56" i="63"/>
  <c r="FC4" i="63"/>
  <c r="FC4" i="61"/>
  <c r="A3" i="63"/>
  <c r="A3" i="61"/>
  <c r="FC4" i="59"/>
  <c r="A3" i="59"/>
  <c r="FA5" i="63"/>
  <c r="FA5" i="61"/>
  <c r="FA5" i="59"/>
  <c r="BY13" i="59"/>
  <c r="BY13" i="63"/>
  <c r="BY13" i="61"/>
  <c r="M10" i="63"/>
  <c r="N10" i="63" s="1"/>
  <c r="M10" i="61"/>
  <c r="N10" i="61" s="1"/>
  <c r="M10" i="59"/>
  <c r="N10" i="59" s="1"/>
  <c r="A15" i="59"/>
  <c r="A15" i="63"/>
  <c r="A15" i="61"/>
  <c r="A12" i="63"/>
  <c r="A12" i="61"/>
  <c r="A12" i="59"/>
  <c r="A57" i="59"/>
  <c r="A57" i="63"/>
  <c r="A57" i="61"/>
  <c r="F14" i="61"/>
  <c r="F14" i="59"/>
  <c r="F14" i="63"/>
  <c r="A33" i="61"/>
  <c r="A33" i="59"/>
  <c r="A33" i="63"/>
  <c r="BY4" i="63"/>
  <c r="BY33" i="59"/>
  <c r="BY33" i="63"/>
  <c r="BY4" i="61"/>
  <c r="BY33" i="61"/>
  <c r="BY4" i="59"/>
  <c r="CD17" i="59"/>
  <c r="CD17" i="63"/>
  <c r="CD17" i="61"/>
  <c r="AB41" i="59"/>
  <c r="AB41" i="61"/>
  <c r="J16" i="94" s="1"/>
  <c r="AB41" i="63"/>
  <c r="J16" i="95" s="1"/>
  <c r="A31" i="63"/>
  <c r="A31" i="61"/>
  <c r="A31" i="59"/>
  <c r="Q8" i="63"/>
  <c r="S12" i="63"/>
  <c r="Q8" i="61"/>
  <c r="S12" i="61"/>
  <c r="S12" i="59"/>
  <c r="Q8" i="59"/>
  <c r="S22" i="61"/>
  <c r="S22" i="63"/>
  <c r="R8" i="61"/>
  <c r="S22" i="59"/>
  <c r="Q22" i="59"/>
  <c r="R8" i="59"/>
  <c r="Q22" i="63"/>
  <c r="R8" i="63"/>
  <c r="Q22" i="61"/>
  <c r="Q51" i="59"/>
  <c r="Q51" i="63"/>
  <c r="Q51" i="61"/>
  <c r="R41" i="63"/>
  <c r="Q61" i="61"/>
  <c r="V39" i="61"/>
  <c r="U39" i="61"/>
  <c r="Q61" i="59"/>
  <c r="Q61" i="63"/>
  <c r="R41" i="61"/>
  <c r="V39" i="63"/>
  <c r="U39" i="63"/>
  <c r="R41" i="59"/>
  <c r="V39" i="59"/>
  <c r="U39" i="59"/>
  <c r="Q18" i="63"/>
  <c r="S18" i="61"/>
  <c r="Q18" i="61"/>
  <c r="S18" i="63"/>
  <c r="S18" i="59"/>
  <c r="Q18" i="59"/>
  <c r="V10" i="61"/>
  <c r="R13" i="61"/>
  <c r="U10" i="61"/>
  <c r="V10" i="63"/>
  <c r="R13" i="63"/>
  <c r="U10" i="63"/>
  <c r="Q31" i="61"/>
  <c r="V10" i="59"/>
  <c r="Q31" i="59"/>
  <c r="U10" i="59"/>
  <c r="R13" i="59"/>
  <c r="Q31" i="63"/>
  <c r="A45" i="59"/>
  <c r="A45" i="63"/>
  <c r="A45" i="61"/>
  <c r="S6" i="61"/>
  <c r="S6" i="63"/>
  <c r="Q24" i="63"/>
  <c r="S6" i="59"/>
  <c r="Q24" i="61"/>
  <c r="Q24" i="59"/>
  <c r="AB40" i="59"/>
  <c r="AB40" i="63"/>
  <c r="AB40" i="61"/>
  <c r="CD16" i="59"/>
  <c r="CD16" i="61"/>
  <c r="CD16" i="63"/>
  <c r="Q52" i="63"/>
  <c r="R33" i="61"/>
  <c r="V30" i="59"/>
  <c r="U30" i="59"/>
  <c r="V30" i="63"/>
  <c r="U30" i="63"/>
  <c r="R33" i="59"/>
  <c r="R33" i="63"/>
  <c r="Q52" i="61"/>
  <c r="V30" i="61"/>
  <c r="U30" i="61"/>
  <c r="Q52" i="59"/>
  <c r="FA4" i="63"/>
  <c r="FA4" i="61"/>
  <c r="FA4" i="59"/>
  <c r="X5" i="59"/>
  <c r="X5" i="61"/>
  <c r="X56" i="94" s="1"/>
  <c r="X5" i="63"/>
  <c r="X56" i="95" s="1"/>
  <c r="Q46" i="63"/>
  <c r="R28" i="59"/>
  <c r="V25" i="59"/>
  <c r="R28" i="63"/>
  <c r="V25" i="63"/>
  <c r="U25" i="63"/>
  <c r="Q46" i="61"/>
  <c r="R28" i="61"/>
  <c r="V25" i="61"/>
  <c r="U25" i="61"/>
  <c r="Q46" i="59"/>
  <c r="U25" i="59"/>
  <c r="V17" i="63"/>
  <c r="R20" i="61"/>
  <c r="R20" i="63"/>
  <c r="Q38" i="63"/>
  <c r="R20" i="59"/>
  <c r="Q38" i="59"/>
  <c r="V17" i="61"/>
  <c r="Q38" i="61"/>
  <c r="U17" i="61"/>
  <c r="V17" i="59"/>
  <c r="U17" i="59"/>
  <c r="U17" i="63"/>
  <c r="A38" i="61"/>
  <c r="A38" i="59"/>
  <c r="A38" i="63"/>
  <c r="A52" i="63"/>
  <c r="A52" i="61"/>
  <c r="A52" i="59"/>
  <c r="A11" i="63"/>
  <c r="A11" i="61"/>
  <c r="A11" i="59"/>
  <c r="Q15" i="63"/>
  <c r="R4" i="61"/>
  <c r="V4" i="63"/>
  <c r="U4" i="63"/>
  <c r="Q15" i="61"/>
  <c r="R4" i="63"/>
  <c r="V4" i="61"/>
  <c r="Q15" i="59"/>
  <c r="R4" i="59"/>
  <c r="U4" i="59"/>
  <c r="U4" i="61"/>
  <c r="V4" i="59"/>
  <c r="Q58" i="63"/>
  <c r="V36" i="63"/>
  <c r="U36" i="63"/>
  <c r="R38" i="63"/>
  <c r="Q58" i="61"/>
  <c r="V36" i="61"/>
  <c r="U36" i="61"/>
  <c r="V36" i="59"/>
  <c r="R38" i="61"/>
  <c r="U36" i="59"/>
  <c r="Q58" i="59"/>
  <c r="R38" i="59"/>
  <c r="Q64" i="59"/>
  <c r="Q64" i="63"/>
  <c r="Q64" i="61"/>
  <c r="A67" i="61"/>
  <c r="A67" i="59"/>
  <c r="A67" i="63"/>
  <c r="A30" i="61"/>
  <c r="A30" i="59"/>
  <c r="A30" i="63"/>
  <c r="A32" i="61"/>
  <c r="A32" i="63"/>
  <c r="A32" i="59"/>
  <c r="Q32" i="61"/>
  <c r="R14" i="61"/>
  <c r="V11" i="61"/>
  <c r="U11" i="61"/>
  <c r="Q32" i="59"/>
  <c r="Q32" i="63"/>
  <c r="R14" i="59"/>
  <c r="R14" i="63"/>
  <c r="V11" i="63"/>
  <c r="U11" i="63"/>
  <c r="V11" i="59"/>
  <c r="U11" i="59"/>
  <c r="A43" i="61"/>
  <c r="A43" i="63"/>
  <c r="A43" i="59"/>
  <c r="FC12" i="61"/>
  <c r="FC12" i="63"/>
  <c r="A53" i="63"/>
  <c r="FC12" i="59"/>
  <c r="A53" i="61"/>
  <c r="A53" i="59"/>
  <c r="S19" i="59"/>
  <c r="S19" i="63"/>
  <c r="S19" i="61"/>
  <c r="Q19" i="59"/>
  <c r="Q19" i="61"/>
  <c r="Q19" i="63"/>
  <c r="V31" i="61"/>
  <c r="R34" i="61"/>
  <c r="U31" i="61"/>
  <c r="Q53" i="61"/>
  <c r="V31" i="59"/>
  <c r="V31" i="63"/>
  <c r="R34" i="63"/>
  <c r="U31" i="63"/>
  <c r="Q53" i="63"/>
  <c r="R34" i="59"/>
  <c r="Q53" i="59"/>
  <c r="U31" i="59"/>
  <c r="CA33" i="63"/>
  <c r="CA33" i="61"/>
  <c r="CA33" i="59"/>
  <c r="CA32" i="59"/>
  <c r="CA32" i="63"/>
  <c r="CA32" i="61"/>
  <c r="A18" i="59"/>
  <c r="A18" i="63"/>
  <c r="A18" i="61"/>
  <c r="R42" i="61"/>
  <c r="Q62" i="63"/>
  <c r="V40" i="63"/>
  <c r="R42" i="59"/>
  <c r="R42" i="63"/>
  <c r="Q62" i="61"/>
  <c r="V40" i="61"/>
  <c r="V40" i="59"/>
  <c r="U40" i="61"/>
  <c r="U40" i="59"/>
  <c r="Q62" i="59"/>
  <c r="U40" i="63"/>
  <c r="A51" i="59"/>
  <c r="A51" i="63"/>
  <c r="FC10" i="63"/>
  <c r="A51" i="61"/>
  <c r="FC10" i="61"/>
  <c r="FC10" i="59"/>
  <c r="Q65" i="63"/>
  <c r="Q65" i="61"/>
  <c r="Q65" i="59"/>
  <c r="A7" i="61"/>
  <c r="FC7" i="63"/>
  <c r="A7" i="63"/>
  <c r="FC7" i="61"/>
  <c r="A7" i="59"/>
  <c r="FC7" i="59"/>
  <c r="R16" i="59"/>
  <c r="R16" i="63"/>
  <c r="V13" i="63"/>
  <c r="Q34" i="61"/>
  <c r="R16" i="61"/>
  <c r="Q34" i="63"/>
  <c r="U13" i="59"/>
  <c r="Q34" i="59"/>
  <c r="V13" i="61"/>
  <c r="U13" i="61"/>
  <c r="U13" i="63"/>
  <c r="V13" i="59"/>
  <c r="R36" i="59"/>
  <c r="V34" i="61"/>
  <c r="R36" i="63"/>
  <c r="U34" i="61"/>
  <c r="Q56" i="63"/>
  <c r="U34" i="59"/>
  <c r="V34" i="63"/>
  <c r="U34" i="63"/>
  <c r="R36" i="61"/>
  <c r="Q56" i="61"/>
  <c r="Q56" i="59"/>
  <c r="V34" i="59"/>
  <c r="R29" i="61"/>
  <c r="Q47" i="61"/>
  <c r="V26" i="61"/>
  <c r="R29" i="63"/>
  <c r="Q47" i="63"/>
  <c r="V26" i="63"/>
  <c r="Q47" i="59"/>
  <c r="U26" i="63"/>
  <c r="R29" i="59"/>
  <c r="V26" i="59"/>
  <c r="U26" i="59"/>
  <c r="U26" i="61"/>
  <c r="A20" i="63"/>
  <c r="A20" i="61"/>
  <c r="A20" i="59"/>
  <c r="CP10" i="63"/>
  <c r="CV8" i="63"/>
  <c r="CP6" i="63"/>
  <c r="CV10" i="61"/>
  <c r="CN8" i="61"/>
  <c r="CV6" i="61"/>
  <c r="CO10" i="63"/>
  <c r="CO6" i="63"/>
  <c r="CU10" i="61"/>
  <c r="CL8" i="61"/>
  <c r="CU6" i="61"/>
  <c r="CN10" i="63"/>
  <c r="CN6" i="63"/>
  <c r="CM10" i="63"/>
  <c r="CY9" i="63"/>
  <c r="CM6" i="63"/>
  <c r="CO9" i="61"/>
  <c r="CZ10" i="63"/>
  <c r="CL10" i="63"/>
  <c r="CU9" i="63"/>
  <c r="CZ6" i="63"/>
  <c r="CL6" i="63"/>
  <c r="CM9" i="61"/>
  <c r="CV10" i="63"/>
  <c r="CN8" i="63"/>
  <c r="CV6" i="63"/>
  <c r="CP10" i="61"/>
  <c r="CV8" i="61"/>
  <c r="CP6" i="61"/>
  <c r="CU10" i="63"/>
  <c r="CL8" i="63"/>
  <c r="CU6" i="63"/>
  <c r="CO10" i="61"/>
  <c r="CO6" i="61"/>
  <c r="CN10" i="61"/>
  <c r="CN6" i="61"/>
  <c r="CO9" i="63"/>
  <c r="CM10" i="61"/>
  <c r="CY9" i="61"/>
  <c r="CM6" i="61"/>
  <c r="CM9" i="63"/>
  <c r="CK10" i="63"/>
  <c r="CY6" i="63"/>
  <c r="CV10" i="59"/>
  <c r="CN8" i="59"/>
  <c r="CV6" i="59"/>
  <c r="CZ8" i="59"/>
  <c r="CO6" i="59"/>
  <c r="CL10" i="59"/>
  <c r="CY6" i="59"/>
  <c r="CL10" i="61"/>
  <c r="CU10" i="59"/>
  <c r="CL8" i="59"/>
  <c r="CU6" i="59"/>
  <c r="CK6" i="61"/>
  <c r="CK6" i="63"/>
  <c r="CK10" i="61"/>
  <c r="CY10" i="61"/>
  <c r="CP8" i="59"/>
  <c r="CK9" i="63"/>
  <c r="CO9" i="59"/>
  <c r="CY6" i="61"/>
  <c r="CN10" i="59"/>
  <c r="CZ10" i="59"/>
  <c r="CL6" i="59"/>
  <c r="CK10" i="59"/>
  <c r="CU9" i="61"/>
  <c r="CM9" i="59"/>
  <c r="CZ6" i="61"/>
  <c r="CZ8" i="63"/>
  <c r="CK9" i="59"/>
  <c r="CN6" i="59"/>
  <c r="CP8" i="61"/>
  <c r="CY10" i="59"/>
  <c r="CP8" i="63"/>
  <c r="CK9" i="61"/>
  <c r="CP10" i="59"/>
  <c r="CV8" i="59"/>
  <c r="CP6" i="59"/>
  <c r="CO10" i="59"/>
  <c r="CZ8" i="61"/>
  <c r="CM10" i="59"/>
  <c r="CY9" i="59"/>
  <c r="CM6" i="59"/>
  <c r="CY10" i="63"/>
  <c r="CL6" i="61"/>
  <c r="CU9" i="59"/>
  <c r="CZ6" i="59"/>
  <c r="CK6" i="59"/>
  <c r="CZ10" i="61"/>
  <c r="DN2" i="63"/>
  <c r="DN2" i="61"/>
  <c r="DN2" i="59"/>
  <c r="FA2" i="63"/>
  <c r="FA2" i="61"/>
  <c r="FA2" i="59"/>
  <c r="A29" i="63"/>
  <c r="A29" i="61"/>
  <c r="A29" i="59"/>
  <c r="CR7" i="63"/>
  <c r="DF6" i="63"/>
  <c r="DF7" i="61"/>
  <c r="DE5" i="61"/>
  <c r="AB32" i="59"/>
  <c r="AB30" i="63"/>
  <c r="CQ7" i="63"/>
  <c r="DE6" i="63"/>
  <c r="CD11" i="61"/>
  <c r="CR9" i="61"/>
  <c r="DE7" i="61"/>
  <c r="DC5" i="61"/>
  <c r="AB32" i="63"/>
  <c r="CD13" i="63"/>
  <c r="CS8" i="63"/>
  <c r="DD6" i="63"/>
  <c r="DL8" i="61"/>
  <c r="DD7" i="61"/>
  <c r="CT5" i="61"/>
  <c r="DC6" i="63"/>
  <c r="DF8" i="61"/>
  <c r="DC7" i="61"/>
  <c r="CS5" i="61"/>
  <c r="CQ8" i="63"/>
  <c r="DL7" i="63"/>
  <c r="DD8" i="61"/>
  <c r="CT7" i="61"/>
  <c r="DL6" i="61"/>
  <c r="CR5" i="61"/>
  <c r="DF7" i="63"/>
  <c r="DE5" i="63"/>
  <c r="CR7" i="61"/>
  <c r="DF6" i="61"/>
  <c r="CD11" i="63"/>
  <c r="CR9" i="63"/>
  <c r="DE7" i="63"/>
  <c r="DC5" i="63"/>
  <c r="AB30" i="61"/>
  <c r="CQ7" i="61"/>
  <c r="DE6" i="61"/>
  <c r="DL8" i="63"/>
  <c r="DD7" i="63"/>
  <c r="CT5" i="63"/>
  <c r="AB32" i="61"/>
  <c r="CD13" i="61"/>
  <c r="CS8" i="61"/>
  <c r="DD6" i="61"/>
  <c r="DF8" i="63"/>
  <c r="DC7" i="63"/>
  <c r="CS5" i="63"/>
  <c r="DC6" i="61"/>
  <c r="DD8" i="63"/>
  <c r="CT7" i="63"/>
  <c r="DL6" i="63"/>
  <c r="CR5" i="63"/>
  <c r="DF7" i="59"/>
  <c r="DE5" i="59"/>
  <c r="CT9" i="59"/>
  <c r="DL7" i="61"/>
  <c r="CD11" i="59"/>
  <c r="CR9" i="59"/>
  <c r="DE7" i="59"/>
  <c r="DC5" i="59"/>
  <c r="DK6" i="59"/>
  <c r="CT9" i="63"/>
  <c r="DK7" i="61"/>
  <c r="DK5" i="61"/>
  <c r="DL8" i="59"/>
  <c r="DD7" i="59"/>
  <c r="CT5" i="59"/>
  <c r="DK7" i="63"/>
  <c r="DK5" i="59"/>
  <c r="CS7" i="61"/>
  <c r="CQ5" i="61"/>
  <c r="AB30" i="59"/>
  <c r="DF8" i="59"/>
  <c r="DC7" i="59"/>
  <c r="CS5" i="59"/>
  <c r="CS7" i="59"/>
  <c r="CQ5" i="59"/>
  <c r="CS8" i="59"/>
  <c r="DD6" i="59"/>
  <c r="DK5" i="63"/>
  <c r="DD8" i="59"/>
  <c r="CT7" i="59"/>
  <c r="DL6" i="59"/>
  <c r="CR5" i="59"/>
  <c r="CQ7" i="59"/>
  <c r="CQ5" i="63"/>
  <c r="CT9" i="61"/>
  <c r="CQ8" i="59"/>
  <c r="DK6" i="61"/>
  <c r="CR7" i="59"/>
  <c r="DF6" i="59"/>
  <c r="DE6" i="59"/>
  <c r="CS7" i="63"/>
  <c r="DC6" i="59"/>
  <c r="CQ8" i="61"/>
  <c r="CD13" i="59"/>
  <c r="DL7" i="59"/>
  <c r="DK6" i="63"/>
  <c r="DK7" i="59"/>
  <c r="A48" i="61"/>
  <c r="A48" i="63"/>
  <c r="A48" i="59"/>
  <c r="S13" i="61"/>
  <c r="Q9" i="63"/>
  <c r="S13" i="63"/>
  <c r="S13" i="59"/>
  <c r="Q9" i="59"/>
  <c r="Q9" i="61"/>
  <c r="V5" i="61"/>
  <c r="U5" i="61"/>
  <c r="Q16" i="63"/>
  <c r="V5" i="63"/>
  <c r="U5" i="63"/>
  <c r="R5" i="63"/>
  <c r="V5" i="59"/>
  <c r="Q16" i="61"/>
  <c r="U5" i="59"/>
  <c r="R5" i="59"/>
  <c r="Q16" i="59"/>
  <c r="R5" i="61"/>
  <c r="U21" i="59"/>
  <c r="V21" i="63"/>
  <c r="U21" i="63"/>
  <c r="Q42" i="61"/>
  <c r="R24" i="61"/>
  <c r="V21" i="61"/>
  <c r="U21" i="61"/>
  <c r="Q42" i="63"/>
  <c r="R24" i="63"/>
  <c r="R24" i="59"/>
  <c r="V21" i="59"/>
  <c r="Q42" i="59"/>
  <c r="BZ35" i="61"/>
  <c r="BZ35" i="63"/>
  <c r="BZ35" i="59"/>
  <c r="BZ34" i="63"/>
  <c r="BZ34" i="61"/>
  <c r="BZ34" i="59"/>
  <c r="FC9" i="63"/>
  <c r="FC9" i="61"/>
  <c r="FC9" i="59"/>
  <c r="A50" i="61"/>
  <c r="A50" i="59"/>
  <c r="A50" i="63"/>
  <c r="A17" i="61"/>
  <c r="A17" i="63"/>
  <c r="A17" i="59"/>
  <c r="A6" i="63"/>
  <c r="A6" i="61"/>
  <c r="A6" i="59"/>
  <c r="FC11" i="61"/>
  <c r="A55" i="61"/>
  <c r="FC11" i="63"/>
  <c r="A55" i="63"/>
  <c r="FC11" i="59"/>
  <c r="A55" i="59"/>
  <c r="Q28" i="59"/>
  <c r="V7" i="63"/>
  <c r="Q28" i="63"/>
  <c r="U7" i="63"/>
  <c r="R10" i="61"/>
  <c r="V7" i="61"/>
  <c r="R10" i="63"/>
  <c r="Q28" i="61"/>
  <c r="U7" i="61"/>
  <c r="V7" i="59"/>
  <c r="R10" i="59"/>
  <c r="U7" i="59"/>
  <c r="V37" i="61"/>
  <c r="U37" i="61"/>
  <c r="Q59" i="61"/>
  <c r="U37" i="59"/>
  <c r="V37" i="63"/>
  <c r="U37" i="63"/>
  <c r="Q59" i="63"/>
  <c r="V37" i="59"/>
  <c r="Q59" i="59"/>
  <c r="R39" i="61"/>
  <c r="R39" i="63"/>
  <c r="R39" i="59"/>
  <c r="A9" i="63"/>
  <c r="A9" i="61"/>
  <c r="A9" i="59"/>
  <c r="A44" i="61"/>
  <c r="A44" i="63"/>
  <c r="A44" i="59"/>
  <c r="FA3" i="63"/>
  <c r="FA3" i="61"/>
  <c r="FA3" i="59"/>
  <c r="A25" i="61"/>
  <c r="A25" i="63"/>
  <c r="A25" i="59"/>
  <c r="A49" i="61"/>
  <c r="A49" i="63"/>
  <c r="A49" i="59"/>
  <c r="FC5" i="63"/>
  <c r="FC5" i="61"/>
  <c r="A4" i="63"/>
  <c r="A4" i="59"/>
  <c r="FC5" i="59"/>
  <c r="A4" i="61"/>
  <c r="Q11" i="63"/>
  <c r="S15" i="61"/>
  <c r="Q11" i="61"/>
  <c r="S15" i="63"/>
  <c r="Q11" i="59"/>
  <c r="S15" i="59"/>
  <c r="V6" i="61"/>
  <c r="Q17" i="61"/>
  <c r="U6" i="61"/>
  <c r="R6" i="61"/>
  <c r="Q17" i="59"/>
  <c r="V6" i="63"/>
  <c r="Q17" i="63"/>
  <c r="U6" i="63"/>
  <c r="R6" i="63"/>
  <c r="V6" i="59"/>
  <c r="U6" i="59"/>
  <c r="R6" i="59"/>
  <c r="X3" i="61"/>
  <c r="X3" i="63"/>
  <c r="X3" i="59"/>
  <c r="EN4" i="63"/>
  <c r="EN4" i="61"/>
  <c r="EN4" i="59"/>
  <c r="FF4" i="63"/>
  <c r="FE3" i="63"/>
  <c r="EY2" i="61"/>
  <c r="FF4" i="61"/>
  <c r="FE3" i="61"/>
  <c r="EY2" i="63"/>
  <c r="EY2" i="59"/>
  <c r="FE3" i="59"/>
  <c r="FF4" i="59"/>
  <c r="EN5" i="63"/>
  <c r="EN5" i="59"/>
  <c r="EN5" i="61"/>
  <c r="CS9" i="61"/>
  <c r="CT8" i="63"/>
  <c r="CT10" i="61"/>
  <c r="CQ9" i="61"/>
  <c r="CT6" i="61"/>
  <c r="CR8" i="63"/>
  <c r="CS10" i="61"/>
  <c r="CS6" i="61"/>
  <c r="CR10" i="61"/>
  <c r="CR6" i="61"/>
  <c r="CS9" i="63"/>
  <c r="CT8" i="61"/>
  <c r="CT10" i="63"/>
  <c r="CQ9" i="63"/>
  <c r="CT6" i="63"/>
  <c r="CS10" i="63"/>
  <c r="CS6" i="63"/>
  <c r="CR8" i="61"/>
  <c r="CR10" i="63"/>
  <c r="CR6" i="63"/>
  <c r="CQ10" i="61"/>
  <c r="CS9" i="59"/>
  <c r="CQ10" i="63"/>
  <c r="CQ6" i="63"/>
  <c r="CT10" i="59"/>
  <c r="CQ9" i="59"/>
  <c r="CT6" i="59"/>
  <c r="CS10" i="59"/>
  <c r="CS6" i="59"/>
  <c r="CR10" i="59"/>
  <c r="CR6" i="59"/>
  <c r="CQ10" i="59"/>
  <c r="CQ6" i="59"/>
  <c r="CT8" i="59"/>
  <c r="CQ6" i="61"/>
  <c r="CR8" i="59"/>
  <c r="S21" i="59"/>
  <c r="S21" i="63"/>
  <c r="S21" i="61"/>
  <c r="Q21" i="63"/>
  <c r="R7" i="61"/>
  <c r="Q21" i="59"/>
  <c r="R7" i="59"/>
  <c r="Q21" i="61"/>
  <c r="R7" i="63"/>
  <c r="A64" i="59"/>
  <c r="A64" i="63"/>
  <c r="A64" i="61"/>
  <c r="FC8" i="61"/>
  <c r="A13" i="61"/>
  <c r="FC8" i="63"/>
  <c r="A13" i="63"/>
  <c r="FC8" i="59"/>
  <c r="A13" i="59"/>
  <c r="A10" i="63"/>
  <c r="Q67" i="61"/>
  <c r="A10" i="61"/>
  <c r="Q67" i="59"/>
  <c r="Q67" i="63"/>
  <c r="A10" i="59"/>
  <c r="U12" i="63"/>
  <c r="Q33" i="61"/>
  <c r="U12" i="61"/>
  <c r="Q33" i="63"/>
  <c r="R15" i="63"/>
  <c r="V12" i="63"/>
  <c r="Q33" i="59"/>
  <c r="V12" i="59"/>
  <c r="V12" i="61"/>
  <c r="U12" i="59"/>
  <c r="R15" i="61"/>
  <c r="R15" i="59"/>
  <c r="Q39" i="63"/>
  <c r="V18" i="61"/>
  <c r="U18" i="61"/>
  <c r="R21" i="63"/>
  <c r="Q39" i="61"/>
  <c r="V18" i="59"/>
  <c r="V18" i="63"/>
  <c r="U18" i="63"/>
  <c r="Q39" i="59"/>
  <c r="U18" i="59"/>
  <c r="R21" i="59"/>
  <c r="R21" i="61"/>
  <c r="CA35" i="61"/>
  <c r="CA34" i="63"/>
  <c r="CA35" i="59"/>
  <c r="CA35" i="63"/>
  <c r="CA34" i="61"/>
  <c r="CA34" i="59"/>
  <c r="F19" i="61"/>
  <c r="F19" i="59"/>
  <c r="F19" i="63"/>
  <c r="A62" i="61"/>
  <c r="A62" i="63"/>
  <c r="A62" i="59"/>
  <c r="M11" i="63"/>
  <c r="N11" i="63" s="1"/>
  <c r="BY14" i="63"/>
  <c r="M11" i="61"/>
  <c r="N11" i="61" s="1"/>
  <c r="BY14" i="61"/>
  <c r="BY14" i="59"/>
  <c r="H37" i="93" s="1"/>
  <c r="M11" i="59"/>
  <c r="N11" i="59" s="1"/>
  <c r="A23" i="61"/>
  <c r="A23" i="59"/>
  <c r="A23" i="63"/>
  <c r="BY15" i="61"/>
  <c r="M12" i="63"/>
  <c r="N12" i="63" s="1"/>
  <c r="BY15" i="63"/>
  <c r="M12" i="61"/>
  <c r="N12" i="61" s="1"/>
  <c r="BY15" i="59"/>
  <c r="M12" i="59"/>
  <c r="N12" i="59" s="1"/>
  <c r="Q26" i="63"/>
  <c r="S8" i="61"/>
  <c r="Q26" i="61"/>
  <c r="S8" i="63"/>
  <c r="S8" i="59"/>
  <c r="Q26" i="59"/>
  <c r="S14" i="61"/>
  <c r="Q10" i="61"/>
  <c r="S14" i="63"/>
  <c r="Q10" i="63"/>
  <c r="S14" i="59"/>
  <c r="Q10" i="59"/>
  <c r="A14" i="63"/>
  <c r="A14" i="61"/>
  <c r="A14" i="59"/>
  <c r="FA9" i="63"/>
  <c r="FA9" i="61"/>
  <c r="FA9" i="59"/>
  <c r="Q36" i="59"/>
  <c r="V15" i="61"/>
  <c r="Q36" i="63"/>
  <c r="U15" i="61"/>
  <c r="V15" i="59"/>
  <c r="V15" i="63"/>
  <c r="U15" i="63"/>
  <c r="Q36" i="61"/>
  <c r="U15" i="59"/>
  <c r="R18" i="61"/>
  <c r="R18" i="59"/>
  <c r="R18" i="63"/>
  <c r="Q66" i="61"/>
  <c r="Q66" i="59"/>
  <c r="Q66" i="63"/>
  <c r="BZ32" i="63"/>
  <c r="BZ33" i="59"/>
  <c r="BZ33" i="63"/>
  <c r="BZ32" i="61"/>
  <c r="BZ33" i="61"/>
  <c r="BZ32" i="59"/>
  <c r="A22" i="63"/>
  <c r="A22" i="61"/>
  <c r="A22" i="59"/>
  <c r="CJ5" i="63"/>
  <c r="CI5" i="63"/>
  <c r="CH5" i="63"/>
  <c r="CG5" i="63"/>
  <c r="CJ5" i="61"/>
  <c r="CI5" i="61"/>
  <c r="CH5" i="61"/>
  <c r="CG5" i="61"/>
  <c r="CH5" i="59"/>
  <c r="CI5" i="59"/>
  <c r="CJ5" i="59"/>
  <c r="CG5" i="59"/>
  <c r="V9" i="63"/>
  <c r="U9" i="63"/>
  <c r="R12" i="63"/>
  <c r="V9" i="61"/>
  <c r="U9" i="61"/>
  <c r="R12" i="61"/>
  <c r="Q30" i="63"/>
  <c r="R12" i="59"/>
  <c r="Q30" i="61"/>
  <c r="U9" i="59"/>
  <c r="Q30" i="59"/>
  <c r="V9" i="59"/>
  <c r="V28" i="63"/>
  <c r="Q49" i="61"/>
  <c r="U28" i="63"/>
  <c r="R31" i="61"/>
  <c r="Q49" i="59"/>
  <c r="Q49" i="63"/>
  <c r="V28" i="61"/>
  <c r="U28" i="61"/>
  <c r="R31" i="63"/>
  <c r="R31" i="59"/>
  <c r="U28" i="59"/>
  <c r="V28" i="59"/>
  <c r="U19" i="59"/>
  <c r="V19" i="63"/>
  <c r="Q40" i="61"/>
  <c r="U19" i="63"/>
  <c r="R22" i="61"/>
  <c r="Q40" i="63"/>
  <c r="V19" i="61"/>
  <c r="U19" i="61"/>
  <c r="R22" i="63"/>
  <c r="R22" i="59"/>
  <c r="Q40" i="59"/>
  <c r="V19" i="59"/>
  <c r="Q25" i="61"/>
  <c r="S7" i="63"/>
  <c r="Q25" i="59"/>
  <c r="Q25" i="63"/>
  <c r="S7" i="59"/>
  <c r="S7" i="61"/>
  <c r="R40" i="61"/>
  <c r="V38" i="59"/>
  <c r="U38" i="59"/>
  <c r="V38" i="63"/>
  <c r="Q60" i="61"/>
  <c r="U38" i="63"/>
  <c r="R40" i="59"/>
  <c r="R40" i="63"/>
  <c r="Q60" i="59"/>
  <c r="Q60" i="63"/>
  <c r="V38" i="61"/>
  <c r="U38" i="61"/>
  <c r="T4" i="59"/>
  <c r="T4" i="63"/>
  <c r="T4" i="61"/>
  <c r="BR2" i="63"/>
  <c r="BR2" i="61"/>
  <c r="DP3" i="61"/>
  <c r="BR2" i="59"/>
  <c r="DP3" i="59"/>
  <c r="DP3" i="63"/>
  <c r="Q7" i="61"/>
  <c r="S11" i="61"/>
  <c r="Q7" i="63"/>
  <c r="S11" i="63"/>
  <c r="Q7" i="59"/>
  <c r="S11" i="59"/>
  <c r="Q35" i="63"/>
  <c r="U14" i="61"/>
  <c r="R17" i="61"/>
  <c r="U14" i="63"/>
  <c r="Q35" i="61"/>
  <c r="R17" i="63"/>
  <c r="Q35" i="59"/>
  <c r="V14" i="61"/>
  <c r="V14" i="59"/>
  <c r="V14" i="63"/>
  <c r="U14" i="59"/>
  <c r="R17" i="59"/>
  <c r="EY5" i="63"/>
  <c r="FH3" i="61"/>
  <c r="EY5" i="61"/>
  <c r="FH3" i="63"/>
  <c r="FH3" i="59"/>
  <c r="EY5" i="59"/>
  <c r="A28" i="63"/>
  <c r="A28" i="59"/>
  <c r="A28" i="61"/>
  <c r="A24" i="63"/>
  <c r="A24" i="61"/>
  <c r="A24" i="59"/>
  <c r="FA6" i="61"/>
  <c r="FA6" i="63"/>
  <c r="FA6" i="59"/>
  <c r="A27" i="61"/>
  <c r="A27" i="63"/>
  <c r="A27" i="59"/>
  <c r="A47" i="63"/>
  <c r="A47" i="59"/>
  <c r="A47" i="61"/>
  <c r="Q43" i="61"/>
  <c r="V22" i="61"/>
  <c r="U22" i="61"/>
  <c r="Q43" i="59"/>
  <c r="Q43" i="63"/>
  <c r="U22" i="59"/>
  <c r="V22" i="63"/>
  <c r="U22" i="63"/>
  <c r="R25" i="61"/>
  <c r="R25" i="63"/>
  <c r="V22" i="59"/>
  <c r="R25" i="59"/>
  <c r="S20" i="61"/>
  <c r="S20" i="63"/>
  <c r="Q20" i="61"/>
  <c r="S20" i="59"/>
  <c r="Q20" i="63"/>
  <c r="Q20" i="59"/>
  <c r="S16" i="59"/>
  <c r="S16" i="63"/>
  <c r="Q13" i="61"/>
  <c r="Q13" i="59"/>
  <c r="Q13" i="63"/>
  <c r="S16" i="61"/>
  <c r="A21" i="61"/>
  <c r="A21" i="59"/>
  <c r="A21" i="63"/>
  <c r="FF3" i="63"/>
  <c r="EY3" i="63"/>
  <c r="FF3" i="61"/>
  <c r="FF3" i="59"/>
  <c r="EY3" i="59"/>
  <c r="EY3" i="61"/>
  <c r="V16" i="63"/>
  <c r="U16" i="63"/>
  <c r="R19" i="63"/>
  <c r="Q37" i="61"/>
  <c r="V16" i="61"/>
  <c r="U16" i="61"/>
  <c r="Q37" i="63"/>
  <c r="R19" i="59"/>
  <c r="R19" i="61"/>
  <c r="Q37" i="59"/>
  <c r="V16" i="59"/>
  <c r="U16" i="59"/>
  <c r="S17" i="61"/>
  <c r="Q14" i="61"/>
  <c r="S17" i="59"/>
  <c r="S17" i="63"/>
  <c r="Q14" i="63"/>
  <c r="Q14" i="59"/>
  <c r="A35" i="63"/>
  <c r="A35" i="61"/>
  <c r="A35" i="59"/>
  <c r="Q41" i="63"/>
  <c r="V20" i="61"/>
  <c r="U20" i="61"/>
  <c r="R23" i="63"/>
  <c r="U20" i="59"/>
  <c r="V20" i="63"/>
  <c r="Q41" i="61"/>
  <c r="U20" i="63"/>
  <c r="Q41" i="59"/>
  <c r="R23" i="61"/>
  <c r="R23" i="59"/>
  <c r="V20" i="59"/>
  <c r="EY4" i="63"/>
  <c r="EY4" i="61"/>
  <c r="FG3" i="59"/>
  <c r="FG3" i="63"/>
  <c r="FG3" i="61"/>
  <c r="EY4" i="59"/>
  <c r="Q57" i="59"/>
  <c r="Q57" i="63"/>
  <c r="R37" i="61"/>
  <c r="V35" i="61"/>
  <c r="U35" i="61"/>
  <c r="Q57" i="61"/>
  <c r="R37" i="63"/>
  <c r="V35" i="63"/>
  <c r="U35" i="63"/>
  <c r="R37" i="59"/>
  <c r="V35" i="59"/>
  <c r="U35" i="59"/>
  <c r="Q12" i="63"/>
  <c r="Q12" i="61"/>
  <c r="Q12" i="59"/>
  <c r="F18" i="63"/>
  <c r="A61" i="61"/>
  <c r="A61" i="63"/>
  <c r="F18" i="61"/>
  <c r="F18" i="59"/>
  <c r="A61" i="59"/>
  <c r="FA8" i="61"/>
  <c r="FA8" i="63"/>
  <c r="FA8" i="59"/>
  <c r="V32" i="59"/>
  <c r="Q54" i="61"/>
  <c r="V32" i="63"/>
  <c r="U32" i="63"/>
  <c r="Q54" i="59"/>
  <c r="Q54" i="63"/>
  <c r="V32" i="61"/>
  <c r="U32" i="59"/>
  <c r="U32" i="61"/>
  <c r="A46" i="63"/>
  <c r="A46" i="61"/>
  <c r="A46" i="59"/>
  <c r="EN3" i="63"/>
  <c r="V1" i="63" s="1"/>
  <c r="EN3" i="59"/>
  <c r="V1" i="59" s="1"/>
  <c r="EN3" i="61"/>
  <c r="V1" i="61" s="1"/>
  <c r="Q30" i="57"/>
  <c r="V9" i="57"/>
  <c r="U9" i="57"/>
  <c r="R12" i="57"/>
  <c r="A48" i="55"/>
  <c r="A48" i="57"/>
  <c r="A8" i="55"/>
  <c r="A8" i="57"/>
  <c r="Q8" i="57"/>
  <c r="S12" i="57"/>
  <c r="A59" i="57"/>
  <c r="F16" i="57"/>
  <c r="A10" i="57"/>
  <c r="Q67" i="57"/>
  <c r="A43" i="55"/>
  <c r="A43" i="57"/>
  <c r="U33" i="57"/>
  <c r="R35" i="57"/>
  <c r="V33" i="57"/>
  <c r="Q55" i="57"/>
  <c r="S9" i="57"/>
  <c r="Q27" i="57"/>
  <c r="A26" i="55"/>
  <c r="A26" i="57"/>
  <c r="FA7" i="55"/>
  <c r="FA7" i="57"/>
  <c r="X4" i="55"/>
  <c r="X4" i="57"/>
  <c r="A37" i="55"/>
  <c r="A37" i="57"/>
  <c r="U8" i="57"/>
  <c r="Q29" i="57"/>
  <c r="R11" i="57"/>
  <c r="V8" i="57"/>
  <c r="A40" i="55"/>
  <c r="A40" i="57"/>
  <c r="BY35" i="57"/>
  <c r="BY6" i="57"/>
  <c r="A42" i="55"/>
  <c r="A42" i="57"/>
  <c r="A16" i="55"/>
  <c r="A16" i="57"/>
  <c r="A54" i="57"/>
  <c r="FC13" i="57"/>
  <c r="A5" i="57"/>
  <c r="FC6" i="57"/>
  <c r="R31" i="57"/>
  <c r="V28" i="57"/>
  <c r="U28" i="57"/>
  <c r="Q49" i="57"/>
  <c r="BY32" i="57"/>
  <c r="BY3" i="57"/>
  <c r="BY5" i="57"/>
  <c r="BY34" i="57"/>
  <c r="A66" i="55"/>
  <c r="A66" i="57"/>
  <c r="A39" i="55"/>
  <c r="A39" i="57"/>
  <c r="Q5" i="57"/>
  <c r="S5" i="57"/>
  <c r="Q6" i="57"/>
  <c r="S10" i="57"/>
  <c r="A58" i="57"/>
  <c r="F15" i="57"/>
  <c r="A65" i="55"/>
  <c r="A65" i="57"/>
  <c r="A41" i="55"/>
  <c r="A41" i="57"/>
  <c r="DP2" i="57"/>
  <c r="BQ2" i="57"/>
  <c r="A56" i="55"/>
  <c r="A56" i="57"/>
  <c r="FC4" i="57"/>
  <c r="A3" i="57"/>
  <c r="FA5" i="55"/>
  <c r="FA5" i="57"/>
  <c r="M10" i="57"/>
  <c r="N10" i="57" s="1"/>
  <c r="BY13" i="57"/>
  <c r="A15" i="55"/>
  <c r="A15" i="57"/>
  <c r="A12" i="55"/>
  <c r="A12" i="57"/>
  <c r="F14" i="57"/>
  <c r="A57" i="57"/>
  <c r="A33" i="55"/>
  <c r="A33" i="57"/>
  <c r="BY4" i="57"/>
  <c r="BY33" i="57"/>
  <c r="AB41" i="57"/>
  <c r="CD17" i="57"/>
  <c r="S23" i="57"/>
  <c r="R9" i="57"/>
  <c r="Q23" i="57"/>
  <c r="Q51" i="55"/>
  <c r="Q51" i="57"/>
  <c r="V39" i="57"/>
  <c r="U39" i="57"/>
  <c r="R41" i="57"/>
  <c r="Q61" i="57"/>
  <c r="S18" i="57"/>
  <c r="Q18" i="57"/>
  <c r="Q31" i="57"/>
  <c r="V10" i="57"/>
  <c r="R13" i="57"/>
  <c r="U10" i="57"/>
  <c r="A45" i="55"/>
  <c r="A45" i="57"/>
  <c r="S6" i="57"/>
  <c r="Q24" i="57"/>
  <c r="CD16" i="57"/>
  <c r="AB40" i="57"/>
  <c r="S4" i="57"/>
  <c r="Q4" i="57"/>
  <c r="S22" i="57"/>
  <c r="Q22" i="57"/>
  <c r="R8" i="57"/>
  <c r="Q52" i="57"/>
  <c r="V30" i="57"/>
  <c r="U30" i="57"/>
  <c r="R33" i="57"/>
  <c r="FA4" i="55"/>
  <c r="FA4" i="57"/>
  <c r="X5" i="55"/>
  <c r="X5" i="57"/>
  <c r="Q46" i="57"/>
  <c r="R28" i="57"/>
  <c r="V25" i="57"/>
  <c r="U25" i="57"/>
  <c r="R20" i="57"/>
  <c r="Q38" i="57"/>
  <c r="V17" i="57"/>
  <c r="U17" i="57"/>
  <c r="A38" i="55"/>
  <c r="A38" i="57"/>
  <c r="A52" i="55"/>
  <c r="A52" i="57"/>
  <c r="A11" i="55"/>
  <c r="A11" i="57"/>
  <c r="Q15" i="57"/>
  <c r="V4" i="57"/>
  <c r="U4" i="57"/>
  <c r="R4" i="57"/>
  <c r="Q58" i="57"/>
  <c r="V36" i="57"/>
  <c r="U36" i="57"/>
  <c r="R38" i="57"/>
  <c r="Q64" i="55"/>
  <c r="Q64" i="57"/>
  <c r="A67" i="55"/>
  <c r="A67" i="57"/>
  <c r="A30" i="55"/>
  <c r="A30" i="57"/>
  <c r="A32" i="55"/>
  <c r="A32" i="57"/>
  <c r="A64" i="55"/>
  <c r="A64" i="57"/>
  <c r="S13" i="32"/>
  <c r="S13" i="92"/>
  <c r="A60" i="57"/>
  <c r="F17" i="57"/>
  <c r="A31" i="55"/>
  <c r="A31" i="57"/>
  <c r="R34" i="57"/>
  <c r="U31" i="57"/>
  <c r="Q53" i="57"/>
  <c r="V31" i="57"/>
  <c r="CA32" i="57"/>
  <c r="CA33" i="57"/>
  <c r="A18" i="55"/>
  <c r="A18" i="57"/>
  <c r="R42" i="57"/>
  <c r="U40" i="57"/>
  <c r="Q62" i="57"/>
  <c r="V40" i="57"/>
  <c r="A51" i="57"/>
  <c r="FC10" i="57"/>
  <c r="Q65" i="55"/>
  <c r="Q65" i="57"/>
  <c r="FC7" i="57"/>
  <c r="A7" i="57"/>
  <c r="Q34" i="57"/>
  <c r="R16" i="57"/>
  <c r="U13" i="57"/>
  <c r="V13" i="57"/>
  <c r="R36" i="57"/>
  <c r="U34" i="57"/>
  <c r="Q56" i="57"/>
  <c r="V34" i="57"/>
  <c r="R29" i="57"/>
  <c r="Q47" i="57"/>
  <c r="V26" i="57"/>
  <c r="U26" i="57"/>
  <c r="A20" i="55"/>
  <c r="A20" i="57"/>
  <c r="CO9" i="57"/>
  <c r="CM9" i="57"/>
  <c r="CY10" i="57"/>
  <c r="CK9" i="57"/>
  <c r="CZ8" i="57"/>
  <c r="CP8" i="57"/>
  <c r="CP10" i="57"/>
  <c r="CV8" i="57"/>
  <c r="CP6" i="57"/>
  <c r="CO10" i="57"/>
  <c r="CO6" i="57"/>
  <c r="CK10" i="57"/>
  <c r="CY6" i="57"/>
  <c r="CN10" i="57"/>
  <c r="CN6" i="57"/>
  <c r="CK6" i="57"/>
  <c r="CM10" i="57"/>
  <c r="CY9" i="57"/>
  <c r="CM6" i="57"/>
  <c r="CZ10" i="57"/>
  <c r="CL10" i="57"/>
  <c r="CU9" i="57"/>
  <c r="CZ6" i="57"/>
  <c r="CL6" i="57"/>
  <c r="CV10" i="57"/>
  <c r="CN8" i="57"/>
  <c r="CV6" i="57"/>
  <c r="CU10" i="57"/>
  <c r="CL8" i="57"/>
  <c r="CU6" i="57"/>
  <c r="S20" i="57"/>
  <c r="Q20" i="57"/>
  <c r="Q42" i="57"/>
  <c r="R24" i="57"/>
  <c r="V21" i="57"/>
  <c r="U21" i="57"/>
  <c r="BZ34" i="57"/>
  <c r="BZ35" i="57"/>
  <c r="DN2" i="55"/>
  <c r="DN2" i="57"/>
  <c r="R15" i="57"/>
  <c r="V12" i="57"/>
  <c r="U12" i="57"/>
  <c r="Q33" i="57"/>
  <c r="FA2" i="55"/>
  <c r="FA2" i="57"/>
  <c r="A29" i="55"/>
  <c r="A29" i="57"/>
  <c r="DF8" i="57"/>
  <c r="DC7" i="57"/>
  <c r="CS5" i="57"/>
  <c r="DK7" i="57"/>
  <c r="DD8" i="57"/>
  <c r="CT7" i="57"/>
  <c r="DL6" i="57"/>
  <c r="CR5" i="57"/>
  <c r="DK5" i="57"/>
  <c r="CT5" i="57"/>
  <c r="CS7" i="57"/>
  <c r="DK6" i="57"/>
  <c r="CQ5" i="57"/>
  <c r="CR7" i="57"/>
  <c r="DF6" i="57"/>
  <c r="AB30" i="57"/>
  <c r="CQ7" i="57"/>
  <c r="DE6" i="57"/>
  <c r="AB32" i="57"/>
  <c r="CD13" i="57"/>
  <c r="CS8" i="57"/>
  <c r="DD6" i="57"/>
  <c r="DC6" i="57"/>
  <c r="DD7" i="57"/>
  <c r="CQ8" i="57"/>
  <c r="DL7" i="57"/>
  <c r="DL8" i="57"/>
  <c r="CT9" i="57"/>
  <c r="DF7" i="57"/>
  <c r="DE5" i="57"/>
  <c r="CD11" i="57"/>
  <c r="B19" i="92" s="1"/>
  <c r="CR9" i="57"/>
  <c r="DE7" i="57"/>
  <c r="DC5" i="57"/>
  <c r="FC12" i="57"/>
  <c r="A53" i="57"/>
  <c r="FC9" i="57"/>
  <c r="A50" i="57"/>
  <c r="A17" i="55"/>
  <c r="A17" i="57"/>
  <c r="A6" i="55"/>
  <c r="A6" i="57"/>
  <c r="FC11" i="57"/>
  <c r="A55" i="57"/>
  <c r="R10" i="57"/>
  <c r="V7" i="57"/>
  <c r="Q28" i="57"/>
  <c r="U7" i="57"/>
  <c r="Q59" i="57"/>
  <c r="R39" i="57"/>
  <c r="U37" i="57"/>
  <c r="V37" i="57"/>
  <c r="A9" i="55"/>
  <c r="A9" i="57"/>
  <c r="A44" i="55"/>
  <c r="A44" i="57"/>
  <c r="FA3" i="55"/>
  <c r="FA3" i="57"/>
  <c r="A25" i="55"/>
  <c r="A25" i="57"/>
  <c r="A49" i="55"/>
  <c r="A49" i="57"/>
  <c r="A4" i="57"/>
  <c r="FC5" i="57"/>
  <c r="S15" i="57"/>
  <c r="Q11" i="57"/>
  <c r="R6" i="57"/>
  <c r="U6" i="57"/>
  <c r="Q17" i="57"/>
  <c r="V6" i="57"/>
  <c r="X3" i="55"/>
  <c r="X3" i="57"/>
  <c r="EN4" i="55"/>
  <c r="EN4" i="57"/>
  <c r="EY2" i="57"/>
  <c r="FF4" i="57"/>
  <c r="FE3" i="57"/>
  <c r="EN5" i="55"/>
  <c r="EN5" i="57"/>
  <c r="T56" i="92" s="1"/>
  <c r="CS10" i="57"/>
  <c r="CS6" i="57"/>
  <c r="CR10" i="57"/>
  <c r="CR6" i="57"/>
  <c r="CQ10" i="57"/>
  <c r="CQ6" i="57"/>
  <c r="CT8" i="57"/>
  <c r="CT10" i="57"/>
  <c r="CR8" i="57"/>
  <c r="CQ9" i="57"/>
  <c r="CS9" i="57"/>
  <c r="CT6" i="57"/>
  <c r="U11" i="57"/>
  <c r="Q32" i="57"/>
  <c r="V11" i="57"/>
  <c r="R14" i="57"/>
  <c r="Q9" i="57"/>
  <c r="S13" i="57"/>
  <c r="Q19" i="57"/>
  <c r="S19" i="57"/>
  <c r="CA34" i="57"/>
  <c r="CA35" i="57"/>
  <c r="A62" i="57"/>
  <c r="F19" i="57"/>
  <c r="M11" i="57"/>
  <c r="N11" i="57" s="1"/>
  <c r="BY14" i="57"/>
  <c r="H37" i="92" s="1"/>
  <c r="A23" i="55"/>
  <c r="A23" i="57"/>
  <c r="M12" i="57"/>
  <c r="N12" i="57" s="1"/>
  <c r="BY15" i="57"/>
  <c r="S8" i="57"/>
  <c r="Q26" i="57"/>
  <c r="Q10" i="57"/>
  <c r="S14" i="57"/>
  <c r="A14" i="55"/>
  <c r="A14" i="57"/>
  <c r="FA9" i="55"/>
  <c r="FA9" i="57"/>
  <c r="U15" i="57"/>
  <c r="R18" i="57"/>
  <c r="Q36" i="57"/>
  <c r="V15" i="57"/>
  <c r="Q66" i="55"/>
  <c r="Q66" i="57"/>
  <c r="BZ32" i="57"/>
  <c r="BZ33" i="57"/>
  <c r="A22" i="55"/>
  <c r="A22" i="57"/>
  <c r="CJ5" i="57"/>
  <c r="CI5" i="57"/>
  <c r="CH5" i="57"/>
  <c r="CG5" i="57"/>
  <c r="A13" i="57"/>
  <c r="FC8" i="57"/>
  <c r="R22" i="57"/>
  <c r="V19" i="57"/>
  <c r="U19" i="57"/>
  <c r="Q40" i="57"/>
  <c r="S7" i="57"/>
  <c r="Q25" i="57"/>
  <c r="V38" i="57"/>
  <c r="U38" i="57"/>
  <c r="R40" i="57"/>
  <c r="Q60" i="57"/>
  <c r="T4" i="55"/>
  <c r="T4" i="57"/>
  <c r="BR2" i="57"/>
  <c r="DP3" i="57"/>
  <c r="S11" i="57"/>
  <c r="Q7" i="57"/>
  <c r="V14" i="57"/>
  <c r="Q35" i="57"/>
  <c r="U14" i="57"/>
  <c r="R17" i="57"/>
  <c r="FH3" i="57"/>
  <c r="EY5" i="57"/>
  <c r="A28" i="55"/>
  <c r="A28" i="57"/>
  <c r="A24" i="55"/>
  <c r="A24" i="57"/>
  <c r="FA6" i="55"/>
  <c r="FA6" i="57"/>
  <c r="A27" i="55"/>
  <c r="A27" i="57"/>
  <c r="A47" i="55"/>
  <c r="A47" i="57"/>
  <c r="U22" i="57"/>
  <c r="R25" i="57"/>
  <c r="Q43" i="57"/>
  <c r="V22" i="57"/>
  <c r="Q21" i="57"/>
  <c r="S21" i="57"/>
  <c r="R7" i="57"/>
  <c r="R5" i="57"/>
  <c r="Q16" i="57"/>
  <c r="V5" i="57"/>
  <c r="U5" i="57"/>
  <c r="U18" i="57"/>
  <c r="V18" i="57"/>
  <c r="Q39" i="57"/>
  <c r="R21" i="57"/>
  <c r="Q13" i="57"/>
  <c r="S16" i="57"/>
  <c r="A21" i="55"/>
  <c r="A21" i="57"/>
  <c r="FF3" i="57"/>
  <c r="EY3" i="57"/>
  <c r="Q37" i="57"/>
  <c r="V16" i="57"/>
  <c r="U16" i="57"/>
  <c r="R19" i="57"/>
  <c r="Q14" i="57"/>
  <c r="S17" i="57"/>
  <c r="A35" i="55"/>
  <c r="A35" i="57"/>
  <c r="Q41" i="57"/>
  <c r="R23" i="57"/>
  <c r="V20" i="57"/>
  <c r="U20" i="57"/>
  <c r="FG3" i="57"/>
  <c r="EY4" i="57"/>
  <c r="R37" i="57"/>
  <c r="V35" i="57"/>
  <c r="U35" i="57"/>
  <c r="Q57" i="57"/>
  <c r="Q12" i="55"/>
  <c r="Q12" i="57"/>
  <c r="F18" i="57"/>
  <c r="A61" i="57"/>
  <c r="FA8" i="55"/>
  <c r="FA8" i="57"/>
  <c r="Q54" i="57"/>
  <c r="V32" i="57"/>
  <c r="U32" i="57"/>
  <c r="A46" i="55"/>
  <c r="A46" i="57"/>
  <c r="EN3" i="55"/>
  <c r="EN3" i="57"/>
  <c r="FC8" i="55"/>
  <c r="A13" i="55"/>
  <c r="A60" i="55"/>
  <c r="F17" i="55"/>
  <c r="A51" i="79"/>
  <c r="F16" i="55"/>
  <c r="A59" i="55"/>
  <c r="S4" i="55"/>
  <c r="Q4" i="55"/>
  <c r="U33" i="55"/>
  <c r="V33" i="55"/>
  <c r="Q55" i="55"/>
  <c r="R35" i="55"/>
  <c r="S9" i="55"/>
  <c r="Q27" i="55"/>
  <c r="V8" i="55"/>
  <c r="R11" i="55"/>
  <c r="U8" i="55"/>
  <c r="Q29" i="55"/>
  <c r="BY6" i="55"/>
  <c r="BY35" i="55"/>
  <c r="FC13" i="55"/>
  <c r="A54" i="55"/>
  <c r="A5" i="55"/>
  <c r="FC6" i="55"/>
  <c r="BY32" i="55"/>
  <c r="BY3" i="55"/>
  <c r="BY5" i="55"/>
  <c r="BY34" i="55"/>
  <c r="S5" i="55"/>
  <c r="Q5" i="55"/>
  <c r="Q6" i="55"/>
  <c r="S10" i="55"/>
  <c r="A58" i="55"/>
  <c r="F15" i="55"/>
  <c r="BQ2" i="55"/>
  <c r="DP2" i="55"/>
  <c r="FC4" i="55"/>
  <c r="A3" i="55"/>
  <c r="M10" i="55"/>
  <c r="N10" i="55" s="1"/>
  <c r="BY13" i="55"/>
  <c r="F14" i="55"/>
  <c r="A57" i="55"/>
  <c r="BY4" i="55"/>
  <c r="BY33" i="55"/>
  <c r="AB41" i="55"/>
  <c r="CD17" i="55"/>
  <c r="R8" i="55"/>
  <c r="Q22" i="55"/>
  <c r="S22" i="55"/>
  <c r="R41" i="55"/>
  <c r="Q61" i="55"/>
  <c r="U39" i="55"/>
  <c r="V39" i="55"/>
  <c r="Q18" i="55"/>
  <c r="S18" i="55"/>
  <c r="Q31" i="55"/>
  <c r="V10" i="55"/>
  <c r="R13" i="55"/>
  <c r="U10" i="55"/>
  <c r="Q24" i="55"/>
  <c r="S6" i="55"/>
  <c r="AB40" i="55"/>
  <c r="CD16" i="55"/>
  <c r="Q32" i="55"/>
  <c r="R14" i="55"/>
  <c r="V11" i="55"/>
  <c r="U11" i="55"/>
  <c r="A10" i="50"/>
  <c r="A10" i="55"/>
  <c r="Q67" i="55"/>
  <c r="Q52" i="55"/>
  <c r="V30" i="55"/>
  <c r="U30" i="55"/>
  <c r="R33" i="55"/>
  <c r="Q46" i="55"/>
  <c r="R28" i="55"/>
  <c r="U25" i="55"/>
  <c r="V25" i="55"/>
  <c r="V17" i="55"/>
  <c r="Q38" i="55"/>
  <c r="U17" i="55"/>
  <c r="R20" i="55"/>
  <c r="Q15" i="55"/>
  <c r="V4" i="55"/>
  <c r="U4" i="55"/>
  <c r="R4" i="55"/>
  <c r="Q58" i="55"/>
  <c r="V36" i="55"/>
  <c r="U36" i="55"/>
  <c r="R38" i="55"/>
  <c r="Q19" i="55"/>
  <c r="S19" i="55"/>
  <c r="Q53" i="55"/>
  <c r="V31" i="55"/>
  <c r="R34" i="55"/>
  <c r="U31" i="55"/>
  <c r="CA33" i="55"/>
  <c r="CA32" i="55"/>
  <c r="Q62" i="55"/>
  <c r="V40" i="55"/>
  <c r="U40" i="55"/>
  <c r="R42" i="55"/>
  <c r="A51" i="55"/>
  <c r="FC10" i="55"/>
  <c r="FC7" i="55"/>
  <c r="A7" i="55"/>
  <c r="U13" i="55"/>
  <c r="Q34" i="55"/>
  <c r="R16" i="55"/>
  <c r="V13" i="55"/>
  <c r="R36" i="55"/>
  <c r="Q56" i="55"/>
  <c r="V34" i="55"/>
  <c r="U34" i="55"/>
  <c r="Q47" i="55"/>
  <c r="U26" i="55"/>
  <c r="V26" i="55"/>
  <c r="R29" i="55"/>
  <c r="CP10" i="55"/>
  <c r="CV8" i="55"/>
  <c r="CP6" i="55"/>
  <c r="CO6" i="55"/>
  <c r="CU9" i="55"/>
  <c r="CZ6" i="55"/>
  <c r="CK6" i="55"/>
  <c r="CO10" i="55"/>
  <c r="CL10" i="55"/>
  <c r="CK10" i="55"/>
  <c r="CN10" i="55"/>
  <c r="CN6" i="55"/>
  <c r="CZ10" i="55"/>
  <c r="CP8" i="55"/>
  <c r="CM10" i="55"/>
  <c r="CY9" i="55"/>
  <c r="CM6" i="55"/>
  <c r="CL6" i="55"/>
  <c r="CY6" i="55"/>
  <c r="CM9" i="55"/>
  <c r="CZ8" i="55"/>
  <c r="CY10" i="55"/>
  <c r="CV10" i="55"/>
  <c r="CN8" i="55"/>
  <c r="CV6" i="55"/>
  <c r="CU6" i="55"/>
  <c r="CU10" i="55"/>
  <c r="CL8" i="55"/>
  <c r="CO9" i="55"/>
  <c r="CK9" i="55"/>
  <c r="U12" i="55"/>
  <c r="V12" i="55"/>
  <c r="R15" i="55"/>
  <c r="Q33" i="55"/>
  <c r="CR7" i="55"/>
  <c r="DF6" i="55"/>
  <c r="CQ7" i="55"/>
  <c r="CT9" i="55"/>
  <c r="DK7" i="55"/>
  <c r="CT7" i="55"/>
  <c r="AB30" i="55"/>
  <c r="DE6" i="55"/>
  <c r="DK5" i="55"/>
  <c r="DK6" i="55"/>
  <c r="AB32" i="55"/>
  <c r="CD13" i="55"/>
  <c r="CS8" i="55"/>
  <c r="DD6" i="55"/>
  <c r="DL7" i="55"/>
  <c r="CR5" i="55"/>
  <c r="DC6" i="55"/>
  <c r="DD8" i="55"/>
  <c r="CS7" i="55"/>
  <c r="CQ8" i="55"/>
  <c r="DF7" i="55"/>
  <c r="DE5" i="55"/>
  <c r="DE7" i="55"/>
  <c r="CQ5" i="55"/>
  <c r="CD11" i="55"/>
  <c r="CR9" i="55"/>
  <c r="DC5" i="55"/>
  <c r="DL6" i="55"/>
  <c r="DL8" i="55"/>
  <c r="DD7" i="55"/>
  <c r="CT5" i="55"/>
  <c r="DF8" i="55"/>
  <c r="DC7" i="55"/>
  <c r="CS5" i="55"/>
  <c r="S23" i="55"/>
  <c r="R9" i="55"/>
  <c r="Q23" i="55"/>
  <c r="S20" i="55"/>
  <c r="Q20" i="55"/>
  <c r="R24" i="55"/>
  <c r="V21" i="55"/>
  <c r="U21" i="55"/>
  <c r="Q42" i="55"/>
  <c r="BZ34" i="55"/>
  <c r="BZ35" i="55"/>
  <c r="V19" i="55"/>
  <c r="R22" i="55"/>
  <c r="U19" i="55"/>
  <c r="Q40" i="55"/>
  <c r="Q39" i="55"/>
  <c r="R21" i="55"/>
  <c r="V18" i="55"/>
  <c r="U18" i="55"/>
  <c r="FC9" i="55"/>
  <c r="A50" i="55"/>
  <c r="FC11" i="55"/>
  <c r="A55" i="55"/>
  <c r="V7" i="55"/>
  <c r="Q28" i="55"/>
  <c r="U7" i="55"/>
  <c r="R10" i="55"/>
  <c r="Q59" i="55"/>
  <c r="V37" i="55"/>
  <c r="R39" i="55"/>
  <c r="U37" i="55"/>
  <c r="FC5" i="55"/>
  <c r="A4" i="55"/>
  <c r="Q11" i="55"/>
  <c r="S15" i="55"/>
  <c r="V6" i="55"/>
  <c r="Q17" i="55"/>
  <c r="U6" i="55"/>
  <c r="R6" i="55"/>
  <c r="FF4" i="55"/>
  <c r="FE3" i="55"/>
  <c r="EY2" i="55"/>
  <c r="CT8" i="55"/>
  <c r="CR6" i="55"/>
  <c r="CR8" i="55"/>
  <c r="CR10" i="55"/>
  <c r="CS9" i="55"/>
  <c r="CQ10" i="55"/>
  <c r="CT10" i="55"/>
  <c r="CQ9" i="55"/>
  <c r="CT6" i="55"/>
  <c r="CQ6" i="55"/>
  <c r="CS10" i="55"/>
  <c r="CS6" i="55"/>
  <c r="Q21" i="55"/>
  <c r="R7" i="55"/>
  <c r="S21" i="55"/>
  <c r="A53" i="55"/>
  <c r="FC12" i="55"/>
  <c r="Q8" i="55"/>
  <c r="S12" i="55"/>
  <c r="CA34" i="55"/>
  <c r="CA35" i="55"/>
  <c r="A62" i="55"/>
  <c r="F19" i="55"/>
  <c r="BY14" i="55"/>
  <c r="M11" i="55"/>
  <c r="N11" i="55" s="1"/>
  <c r="M12" i="55"/>
  <c r="N12" i="55" s="1"/>
  <c r="BY15" i="55"/>
  <c r="H38" i="91" s="1"/>
  <c r="Q26" i="55"/>
  <c r="S8" i="55"/>
  <c r="Q10" i="55"/>
  <c r="S14" i="55"/>
  <c r="R18" i="55"/>
  <c r="Q36" i="55"/>
  <c r="V15" i="55"/>
  <c r="U15" i="55"/>
  <c r="BZ32" i="55"/>
  <c r="BZ33" i="55"/>
  <c r="CG5" i="50"/>
  <c r="CJ5" i="55"/>
  <c r="CI5" i="55"/>
  <c r="CH5" i="55"/>
  <c r="CG5" i="55"/>
  <c r="Q16" i="55"/>
  <c r="V5" i="55"/>
  <c r="U5" i="55"/>
  <c r="R5" i="55"/>
  <c r="S7" i="55"/>
  <c r="Q25" i="55"/>
  <c r="V38" i="55"/>
  <c r="U38" i="55"/>
  <c r="R40" i="55"/>
  <c r="Q60" i="55"/>
  <c r="BR2" i="55"/>
  <c r="DP3" i="55"/>
  <c r="Q7" i="55"/>
  <c r="S11" i="55"/>
  <c r="FH3" i="55"/>
  <c r="EY5" i="55"/>
  <c r="R25" i="55"/>
  <c r="Q43" i="55"/>
  <c r="V22" i="55"/>
  <c r="U22" i="55"/>
  <c r="V9" i="55"/>
  <c r="U9" i="55"/>
  <c r="R12" i="55"/>
  <c r="Q30" i="55"/>
  <c r="V28" i="55"/>
  <c r="U28" i="55"/>
  <c r="Q49" i="55"/>
  <c r="R31" i="55"/>
  <c r="Q9" i="55"/>
  <c r="S13" i="55"/>
  <c r="Q35" i="55"/>
  <c r="V14" i="55"/>
  <c r="U14" i="55"/>
  <c r="R17" i="55"/>
  <c r="S16" i="55"/>
  <c r="Q13" i="55"/>
  <c r="FF3" i="55"/>
  <c r="EY3" i="55"/>
  <c r="V16" i="55"/>
  <c r="U16" i="55"/>
  <c r="Q37" i="55"/>
  <c r="R19" i="55"/>
  <c r="S17" i="55"/>
  <c r="Q14" i="55"/>
  <c r="Q41" i="55"/>
  <c r="R23" i="55"/>
  <c r="V20" i="55"/>
  <c r="U20" i="55"/>
  <c r="EY4" i="55"/>
  <c r="FG3" i="55"/>
  <c r="Q57" i="55"/>
  <c r="U35" i="55"/>
  <c r="R37" i="55"/>
  <c r="V35" i="55"/>
  <c r="F18" i="55"/>
  <c r="A61" i="55"/>
  <c r="V32" i="55"/>
  <c r="U32" i="55"/>
  <c r="Q54" i="55"/>
  <c r="V1" i="55"/>
  <c r="C28" i="96"/>
  <c r="I26" i="96" s="1"/>
  <c r="E2" i="52"/>
  <c r="E54" i="52"/>
  <c r="E46" i="52"/>
  <c r="E48" i="52"/>
  <c r="C35" i="81"/>
  <c r="C47" i="81"/>
  <c r="J174" i="71"/>
  <c r="E5" i="52"/>
  <c r="F14" i="79"/>
  <c r="E50" i="52"/>
  <c r="E32" i="52"/>
  <c r="E20" i="52"/>
  <c r="E21" i="52"/>
  <c r="M570" i="53"/>
  <c r="B570" i="53" s="1"/>
  <c r="CH5" i="50"/>
  <c r="E23" i="52"/>
  <c r="E11" i="52"/>
  <c r="F18" i="79"/>
  <c r="CI5" i="50"/>
  <c r="E16" i="52"/>
  <c r="E59" i="52"/>
  <c r="E56" i="52"/>
  <c r="CJ5" i="50"/>
  <c r="E39" i="52"/>
  <c r="E52" i="52"/>
  <c r="E41" i="52"/>
  <c r="E28" i="52"/>
  <c r="E6" i="52"/>
  <c r="E62" i="52"/>
  <c r="E36" i="52"/>
  <c r="E40" i="52"/>
  <c r="E10" i="52"/>
  <c r="E27" i="52"/>
  <c r="E31" i="52"/>
  <c r="C24" i="96"/>
  <c r="E19" i="52"/>
  <c r="E35" i="52"/>
  <c r="E24" i="52"/>
  <c r="E45" i="52"/>
  <c r="E14" i="52"/>
  <c r="E13" i="52"/>
  <c r="A11" i="79"/>
  <c r="E26" i="80"/>
  <c r="E61" i="52"/>
  <c r="E27" i="80"/>
  <c r="E58" i="52"/>
  <c r="E49" i="52"/>
  <c r="E64" i="52"/>
  <c r="E43" i="52"/>
  <c r="E26" i="52"/>
  <c r="DJ4" i="50"/>
  <c r="DI4" i="50"/>
  <c r="DB4" i="50"/>
  <c r="DA4" i="50"/>
  <c r="CX4" i="50"/>
  <c r="E44" i="52"/>
  <c r="E22" i="52"/>
  <c r="C48" i="81"/>
  <c r="DH4" i="50"/>
  <c r="DG4" i="50"/>
  <c r="E34" i="52"/>
  <c r="E38" i="52"/>
  <c r="A8" i="50"/>
  <c r="A32" i="79"/>
  <c r="U4" i="79"/>
  <c r="V36" i="50"/>
  <c r="A30" i="50"/>
  <c r="U31" i="50"/>
  <c r="CA32" i="50"/>
  <c r="A18" i="50"/>
  <c r="FC10" i="50"/>
  <c r="Q65" i="50"/>
  <c r="A9" i="79"/>
  <c r="U13" i="79"/>
  <c r="Q56" i="50"/>
  <c r="U26" i="50"/>
  <c r="A19" i="79"/>
  <c r="FA4" i="50"/>
  <c r="BZ35" i="50"/>
  <c r="C57" i="52"/>
  <c r="V12" i="79"/>
  <c r="FA2" i="50"/>
  <c r="A29" i="50"/>
  <c r="A45" i="79"/>
  <c r="A42" i="79"/>
  <c r="A17" i="50"/>
  <c r="FC11" i="50"/>
  <c r="U7" i="79"/>
  <c r="V40" i="79"/>
  <c r="A9" i="50"/>
  <c r="A44" i="50"/>
  <c r="A24" i="79"/>
  <c r="A49" i="50"/>
  <c r="FC5" i="50"/>
  <c r="R4" i="79"/>
  <c r="R8" i="79"/>
  <c r="B91" i="53"/>
  <c r="V23" i="96" s="1"/>
  <c r="EY2" i="50"/>
  <c r="EN5" i="50"/>
  <c r="X5" i="79"/>
  <c r="X56" i="91"/>
  <c r="H37" i="91"/>
  <c r="Q28" i="79"/>
  <c r="A11" i="50"/>
  <c r="Q64" i="50"/>
  <c r="R20" i="50"/>
  <c r="X24" i="52"/>
  <c r="S16" i="50"/>
  <c r="Q57" i="50"/>
  <c r="F18" i="50"/>
  <c r="CW4" i="50"/>
  <c r="Q18" i="79"/>
  <c r="X43" i="52"/>
  <c r="S6" i="50"/>
  <c r="X16" i="52"/>
  <c r="S12" i="50"/>
  <c r="U39" i="50"/>
  <c r="R30" i="79"/>
  <c r="Q53" i="79"/>
  <c r="FA7" i="50"/>
  <c r="X4" i="79"/>
  <c r="R11" i="50"/>
  <c r="BY6" i="50"/>
  <c r="A37" i="79"/>
  <c r="A16" i="79"/>
  <c r="A54" i="50"/>
  <c r="A5" i="50"/>
  <c r="A29" i="79"/>
  <c r="Q48" i="79"/>
  <c r="BY3" i="79"/>
  <c r="BY34" i="50"/>
  <c r="A66" i="50"/>
  <c r="F15" i="50"/>
  <c r="A65" i="50"/>
  <c r="BQ2" i="50"/>
  <c r="A12" i="50"/>
  <c r="A57" i="50"/>
  <c r="A33" i="50"/>
  <c r="BY33" i="50"/>
  <c r="R62" i="52"/>
  <c r="V8" i="79"/>
  <c r="T39" i="52"/>
  <c r="X52" i="52"/>
  <c r="X42" i="52"/>
  <c r="X44" i="52"/>
  <c r="C21" i="81"/>
  <c r="L7" i="71"/>
  <c r="AB40" i="50"/>
  <c r="CD16" i="50"/>
  <c r="CD13" i="50"/>
  <c r="CD11" i="50"/>
  <c r="AB32" i="50"/>
  <c r="AB30" i="50"/>
  <c r="AB41" i="50"/>
  <c r="CD17" i="50"/>
  <c r="C21" i="96"/>
  <c r="R38" i="50"/>
  <c r="L6" i="71"/>
  <c r="A16" i="50"/>
  <c r="B26" i="32"/>
  <c r="R32" i="52"/>
  <c r="H68" i="32"/>
  <c r="R61" i="52"/>
  <c r="FC6" i="50"/>
  <c r="CL8" i="50"/>
  <c r="CU9" i="50"/>
  <c r="CU10" i="50"/>
  <c r="CP10" i="50"/>
  <c r="CO10" i="50"/>
  <c r="CZ6" i="50"/>
  <c r="CO9" i="50"/>
  <c r="CY6" i="50"/>
  <c r="CN10" i="50"/>
  <c r="CV6" i="50"/>
  <c r="CN8" i="50"/>
  <c r="CM10" i="50"/>
  <c r="CU6" i="50"/>
  <c r="CP8" i="50"/>
  <c r="CM9" i="50"/>
  <c r="CP6" i="50"/>
  <c r="CZ10" i="50"/>
  <c r="CL10" i="50"/>
  <c r="CO6" i="50"/>
  <c r="CK6" i="50"/>
  <c r="CY10" i="50"/>
  <c r="CK10" i="50"/>
  <c r="CN6" i="50"/>
  <c r="CZ8" i="50"/>
  <c r="CY9" i="50"/>
  <c r="CK9" i="50"/>
  <c r="CM6" i="50"/>
  <c r="CV8" i="50"/>
  <c r="CV10" i="50"/>
  <c r="CL6" i="50"/>
  <c r="R11" i="52"/>
  <c r="A6" i="79"/>
  <c r="DL8" i="50"/>
  <c r="CR9" i="50"/>
  <c r="DF7" i="50"/>
  <c r="DK7" i="50"/>
  <c r="CQ8" i="50"/>
  <c r="DE6" i="50"/>
  <c r="DK6" i="50"/>
  <c r="DF8" i="50"/>
  <c r="DD7" i="50"/>
  <c r="CT5" i="50"/>
  <c r="DE7" i="50"/>
  <c r="DC6" i="50"/>
  <c r="CS5" i="50"/>
  <c r="CQ7" i="50"/>
  <c r="DD8" i="50"/>
  <c r="DL6" i="50"/>
  <c r="CR5" i="50"/>
  <c r="DC7" i="50"/>
  <c r="DK5" i="50"/>
  <c r="CQ5" i="50"/>
  <c r="DF6" i="50"/>
  <c r="DE5" i="50"/>
  <c r="CT7" i="50"/>
  <c r="DD6" i="50"/>
  <c r="CS7" i="50"/>
  <c r="DC5" i="50"/>
  <c r="CT9" i="50"/>
  <c r="DL7" i="50"/>
  <c r="CR7" i="50"/>
  <c r="CS8" i="50"/>
  <c r="R10" i="52"/>
  <c r="CT6" i="50"/>
  <c r="CS6" i="50"/>
  <c r="CT10" i="50"/>
  <c r="CR6" i="50"/>
  <c r="CS10" i="50"/>
  <c r="CQ6" i="50"/>
  <c r="CS9" i="50"/>
  <c r="CR10" i="50"/>
  <c r="CQ10" i="50"/>
  <c r="CQ9" i="50"/>
  <c r="CT8" i="50"/>
  <c r="CR8" i="50"/>
  <c r="T22" i="52"/>
  <c r="R31" i="52"/>
  <c r="R20" i="52"/>
  <c r="R49" i="52"/>
  <c r="R22" i="52"/>
  <c r="R17" i="52"/>
  <c r="R44" i="52"/>
  <c r="R35" i="52"/>
  <c r="R46" i="52"/>
  <c r="AA30" i="81"/>
  <c r="P28" i="52"/>
  <c r="P3" i="52"/>
  <c r="P29" i="52"/>
  <c r="P46" i="52"/>
  <c r="AC2" i="21"/>
  <c r="Q43" i="79"/>
  <c r="X56" i="52"/>
  <c r="H71" i="32"/>
  <c r="X14" i="52"/>
  <c r="X12" i="52"/>
  <c r="X49" i="52"/>
  <c r="Q46" i="50"/>
  <c r="B93" i="53"/>
  <c r="V25" i="96" s="1"/>
  <c r="AA14" i="81"/>
  <c r="X8" i="52"/>
  <c r="X64" i="52"/>
  <c r="X10" i="52"/>
  <c r="X13" i="52"/>
  <c r="AA35" i="81"/>
  <c r="X37" i="52"/>
  <c r="U25" i="50"/>
  <c r="C11" i="73"/>
  <c r="AH19" i="81"/>
  <c r="X40" i="52"/>
  <c r="X15" i="52"/>
  <c r="AD14" i="32"/>
  <c r="U17" i="79"/>
  <c r="V17" i="50"/>
  <c r="X31" i="52"/>
  <c r="X9" i="52"/>
  <c r="X19" i="52"/>
  <c r="X17" i="52"/>
  <c r="X29" i="52"/>
  <c r="X21" i="52"/>
  <c r="R44" i="79"/>
  <c r="X5" i="50"/>
  <c r="T32" i="52"/>
  <c r="AF25" i="32"/>
  <c r="V25" i="50"/>
  <c r="Q38" i="50"/>
  <c r="X7" i="52"/>
  <c r="AC7" i="52"/>
  <c r="X32" i="52"/>
  <c r="X62" i="52"/>
  <c r="R39" i="52"/>
  <c r="R27" i="52"/>
  <c r="X35" i="52"/>
  <c r="U25" i="79"/>
  <c r="Q58" i="50"/>
  <c r="AM14" i="32"/>
  <c r="U17" i="50"/>
  <c r="U4" i="50"/>
  <c r="X61" i="52"/>
  <c r="Q57" i="79"/>
  <c r="X3" i="52"/>
  <c r="X2" i="52"/>
  <c r="X23" i="52"/>
  <c r="X55" i="52"/>
  <c r="B28" i="73"/>
  <c r="X41" i="52"/>
  <c r="U39" i="79"/>
  <c r="Y19" i="81"/>
  <c r="R22" i="79"/>
  <c r="D77" i="53"/>
  <c r="X20" i="52"/>
  <c r="X28" i="52"/>
  <c r="X30" i="52"/>
  <c r="X59" i="52"/>
  <c r="X34" i="52"/>
  <c r="R16" i="52"/>
  <c r="AC4" i="52"/>
  <c r="X22" i="52"/>
  <c r="C8" i="96"/>
  <c r="U36" i="50"/>
  <c r="A38" i="50"/>
  <c r="R4" i="50"/>
  <c r="X57" i="52"/>
  <c r="X18" i="52"/>
  <c r="X39" i="52"/>
  <c r="X38" i="52"/>
  <c r="X45" i="52"/>
  <c r="R19" i="52"/>
  <c r="R38" i="52"/>
  <c r="X48" i="52"/>
  <c r="A32" i="50"/>
  <c r="D85" i="53"/>
  <c r="Q35" i="79"/>
  <c r="C10" i="96"/>
  <c r="X11" i="52"/>
  <c r="X4" i="52"/>
  <c r="X25" i="52"/>
  <c r="X33" i="52"/>
  <c r="X54" i="52"/>
  <c r="X6" i="52"/>
  <c r="X53" i="52"/>
  <c r="X47" i="52"/>
  <c r="X36" i="52"/>
  <c r="X60" i="52"/>
  <c r="X63" i="52"/>
  <c r="R41" i="52"/>
  <c r="R15" i="52"/>
  <c r="X50" i="52"/>
  <c r="V25" i="79"/>
  <c r="E15" i="80"/>
  <c r="X58" i="52"/>
  <c r="X46" i="52"/>
  <c r="X51" i="52"/>
  <c r="X26" i="52"/>
  <c r="X5" i="52"/>
  <c r="U35" i="79"/>
  <c r="R40" i="52"/>
  <c r="T42" i="52"/>
  <c r="T55" i="52"/>
  <c r="R56" i="52"/>
  <c r="T59" i="52"/>
  <c r="R24" i="52"/>
  <c r="T64" i="52"/>
  <c r="R60" i="52"/>
  <c r="T37" i="52"/>
  <c r="R40" i="79"/>
  <c r="T61" i="52"/>
  <c r="T48" i="52"/>
  <c r="T17" i="52"/>
  <c r="V35" i="79"/>
  <c r="P35" i="52"/>
  <c r="P18" i="52"/>
  <c r="Q2" i="96"/>
  <c r="P31" i="52"/>
  <c r="R15" i="50"/>
  <c r="P39" i="52"/>
  <c r="T10" i="52"/>
  <c r="V33" i="50"/>
  <c r="P5" i="52"/>
  <c r="A28" i="79"/>
  <c r="P63" i="52"/>
  <c r="R17" i="79"/>
  <c r="P8" i="52"/>
  <c r="T35" i="52"/>
  <c r="T11" i="52"/>
  <c r="E21" i="80"/>
  <c r="AK2" i="81"/>
  <c r="Y7" i="71"/>
  <c r="T6" i="52"/>
  <c r="K46" i="81"/>
  <c r="T47" i="52"/>
  <c r="P56" i="52"/>
  <c r="S22" i="73"/>
  <c r="R35" i="79"/>
  <c r="P22" i="52"/>
  <c r="P15" i="52"/>
  <c r="P34" i="52"/>
  <c r="B24" i="32"/>
  <c r="F41" i="52"/>
  <c r="Q33" i="50"/>
  <c r="P58" i="52"/>
  <c r="P25" i="52"/>
  <c r="P2" i="52"/>
  <c r="P10" i="52"/>
  <c r="P45" i="52"/>
  <c r="M569" i="53"/>
  <c r="B569" i="53" s="1"/>
  <c r="F44" i="52"/>
  <c r="AH2" i="73"/>
  <c r="V7" i="96"/>
  <c r="C38" i="52"/>
  <c r="D38" i="52" s="1"/>
  <c r="AC3" i="52"/>
  <c r="Q2" i="80"/>
  <c r="U12" i="79"/>
  <c r="P52" i="52"/>
  <c r="P62" i="52"/>
  <c r="P38" i="52"/>
  <c r="P7" i="52"/>
  <c r="R38" i="79"/>
  <c r="A50" i="79"/>
  <c r="Q10" i="79"/>
  <c r="AP2" i="32"/>
  <c r="P53" i="52"/>
  <c r="P37" i="52"/>
  <c r="P54" i="52"/>
  <c r="P57" i="52"/>
  <c r="P33" i="52"/>
  <c r="P6" i="52"/>
  <c r="BZ34" i="50"/>
  <c r="C16" i="96"/>
  <c r="P44" i="52"/>
  <c r="P12" i="52"/>
  <c r="P4" i="52"/>
  <c r="C41" i="52"/>
  <c r="D41" i="52" s="1"/>
  <c r="P61" i="52"/>
  <c r="P41" i="52"/>
  <c r="P32" i="52"/>
  <c r="P27" i="52"/>
  <c r="P20" i="52"/>
  <c r="R36" i="50"/>
  <c r="P49" i="52"/>
  <c r="P30" i="52"/>
  <c r="P43" i="52"/>
  <c r="P59" i="52"/>
  <c r="P60" i="52"/>
  <c r="P40" i="52"/>
  <c r="P13" i="52"/>
  <c r="U12" i="50"/>
  <c r="P51" i="52"/>
  <c r="P24" i="52"/>
  <c r="P16" i="52"/>
  <c r="P36" i="52"/>
  <c r="P64" i="52"/>
  <c r="P26" i="52"/>
  <c r="P19" i="52"/>
  <c r="U7" i="50"/>
  <c r="Q28" i="97"/>
  <c r="P42" i="52"/>
  <c r="AT2" i="44"/>
  <c r="P14" i="52"/>
  <c r="P47" i="52"/>
  <c r="P55" i="52"/>
  <c r="H67" i="32"/>
  <c r="P23" i="52"/>
  <c r="P17" i="52"/>
  <c r="U26" i="79"/>
  <c r="A12" i="79"/>
  <c r="C60" i="52"/>
  <c r="G60" i="52" s="1"/>
  <c r="P21" i="52"/>
  <c r="C40" i="52"/>
  <c r="P11" i="52"/>
  <c r="P50" i="52"/>
  <c r="P9" i="52"/>
  <c r="D86" i="53"/>
  <c r="Q30" i="79"/>
  <c r="BQ2" i="79"/>
  <c r="A58" i="50"/>
  <c r="L37" i="52"/>
  <c r="L53" i="52"/>
  <c r="C6" i="52"/>
  <c r="D6" i="52" s="1"/>
  <c r="C59" i="52"/>
  <c r="Q53" i="50"/>
  <c r="F4" i="52"/>
  <c r="R16" i="50"/>
  <c r="L8" i="52"/>
  <c r="DN3" i="79"/>
  <c r="F39" i="52"/>
  <c r="A43" i="79"/>
  <c r="C29" i="52"/>
  <c r="D29" i="52" s="1"/>
  <c r="F32" i="52"/>
  <c r="C42" i="52"/>
  <c r="D42" i="52" s="1"/>
  <c r="C28" i="52"/>
  <c r="D28" i="52" s="1"/>
  <c r="V26" i="79"/>
  <c r="C14" i="52"/>
  <c r="Q31" i="79"/>
  <c r="L35" i="52"/>
  <c r="C16" i="52"/>
  <c r="D16" i="52" s="1"/>
  <c r="C61" i="52"/>
  <c r="D61" i="52" s="1"/>
  <c r="T21" i="52"/>
  <c r="L12" i="52"/>
  <c r="L3" i="52"/>
  <c r="L28" i="52"/>
  <c r="C53" i="52"/>
  <c r="D53" i="52" s="1"/>
  <c r="F14" i="50"/>
  <c r="L13" i="52"/>
  <c r="L61" i="52"/>
  <c r="F15" i="79"/>
  <c r="V8" i="81"/>
  <c r="C43" i="81"/>
  <c r="Q31" i="50"/>
  <c r="C85" i="53"/>
  <c r="F55" i="52"/>
  <c r="F43" i="52"/>
  <c r="Q11" i="50"/>
  <c r="X3" i="79"/>
  <c r="B17" i="32"/>
  <c r="L42" i="52"/>
  <c r="L63" i="52"/>
  <c r="A38" i="79"/>
  <c r="B5" i="32"/>
  <c r="FC9" i="50"/>
  <c r="F19" i="52"/>
  <c r="F62" i="52"/>
  <c r="S15" i="50"/>
  <c r="B14" i="32"/>
  <c r="L33" i="52"/>
  <c r="L5" i="52"/>
  <c r="AL8" i="81"/>
  <c r="F38" i="52"/>
  <c r="F6" i="52"/>
  <c r="DP2" i="79"/>
  <c r="L45" i="52"/>
  <c r="L25" i="52"/>
  <c r="B30" i="32"/>
  <c r="R12" i="79"/>
  <c r="A50" i="50"/>
  <c r="FF4" i="50"/>
  <c r="F34" i="52"/>
  <c r="L30" i="52"/>
  <c r="L20" i="52"/>
  <c r="F16" i="52"/>
  <c r="V16" i="96"/>
  <c r="W16" i="96" s="1"/>
  <c r="L38" i="52"/>
  <c r="A30" i="79"/>
  <c r="V6" i="50"/>
  <c r="F12" i="52"/>
  <c r="L24" i="52"/>
  <c r="Q17" i="79"/>
  <c r="R6" i="50"/>
  <c r="F7" i="52"/>
  <c r="F45" i="52"/>
  <c r="A5" i="79"/>
  <c r="Q58" i="79"/>
  <c r="Q17" i="50"/>
  <c r="F14" i="52"/>
  <c r="F37" i="52"/>
  <c r="N19" i="52"/>
  <c r="H66" i="95"/>
  <c r="H66" i="94"/>
  <c r="H66" i="93"/>
  <c r="H66" i="92"/>
  <c r="H66" i="91"/>
  <c r="AO31" i="91"/>
  <c r="AO31" i="95"/>
  <c r="AO31" i="94"/>
  <c r="AO31" i="92"/>
  <c r="AO31" i="93"/>
  <c r="U41" i="79"/>
  <c r="T4" i="50"/>
  <c r="S6" i="79"/>
  <c r="FH3" i="50"/>
  <c r="V45" i="52"/>
  <c r="H70" i="93"/>
  <c r="H70" i="91"/>
  <c r="H70" i="95"/>
  <c r="H70" i="94"/>
  <c r="H70" i="92"/>
  <c r="A24" i="50"/>
  <c r="V22" i="79"/>
  <c r="R20" i="79"/>
  <c r="B92" i="21"/>
  <c r="B11" i="92"/>
  <c r="B11" i="95"/>
  <c r="B11" i="94"/>
  <c r="B11" i="93"/>
  <c r="B11" i="91"/>
  <c r="Q14" i="79"/>
  <c r="R25" i="79"/>
  <c r="FG3" i="50"/>
  <c r="U37" i="79"/>
  <c r="AC24" i="91"/>
  <c r="AC24" i="95"/>
  <c r="AC24" i="94"/>
  <c r="AC8" i="95"/>
  <c r="AC8" i="94"/>
  <c r="AC8" i="93"/>
  <c r="AC24" i="93"/>
  <c r="AC24" i="92"/>
  <c r="AC8" i="92"/>
  <c r="AC8" i="91"/>
  <c r="FA8" i="50"/>
  <c r="J5" i="32"/>
  <c r="A2" i="95"/>
  <c r="D147" i="71" s="1"/>
  <c r="F5" i="95"/>
  <c r="R5" i="94"/>
  <c r="R5" i="92"/>
  <c r="B5" i="95"/>
  <c r="N5" i="94"/>
  <c r="N5" i="92"/>
  <c r="J5" i="94"/>
  <c r="J5" i="92"/>
  <c r="B5" i="94"/>
  <c r="V5" i="93"/>
  <c r="N5" i="93"/>
  <c r="N5" i="91"/>
  <c r="J5" i="93"/>
  <c r="J5" i="91"/>
  <c r="V5" i="95"/>
  <c r="A2" i="94"/>
  <c r="D120" i="71" s="1"/>
  <c r="F5" i="93"/>
  <c r="F5" i="91"/>
  <c r="R5" i="95"/>
  <c r="B5" i="93"/>
  <c r="B5" i="91"/>
  <c r="N5" i="95"/>
  <c r="A2" i="93"/>
  <c r="D93" i="71" s="1"/>
  <c r="J5" i="95"/>
  <c r="V5" i="94"/>
  <c r="A2" i="91"/>
  <c r="D39" i="71" s="1"/>
  <c r="R5" i="93"/>
  <c r="V5" i="92"/>
  <c r="V5" i="91"/>
  <c r="F5" i="92"/>
  <c r="R5" i="91"/>
  <c r="B5" i="92"/>
  <c r="A2" i="92"/>
  <c r="D66" i="71" s="1"/>
  <c r="F5" i="94"/>
  <c r="Q54" i="50"/>
  <c r="AT37" i="91"/>
  <c r="AT37" i="95"/>
  <c r="AT37" i="94"/>
  <c r="AT37" i="93"/>
  <c r="AT37" i="92"/>
  <c r="R43" i="52"/>
  <c r="R25" i="52"/>
  <c r="R34" i="52"/>
  <c r="R30" i="52"/>
  <c r="R2" i="52"/>
  <c r="T29" i="52"/>
  <c r="EY3" i="50"/>
  <c r="T16" i="52"/>
  <c r="T12" i="52"/>
  <c r="R35" i="50"/>
  <c r="F64" i="52"/>
  <c r="Q38" i="79"/>
  <c r="U9" i="50"/>
  <c r="F29" i="32"/>
  <c r="F29" i="93"/>
  <c r="F29" i="95"/>
  <c r="F29" i="94"/>
  <c r="F29" i="92"/>
  <c r="F29" i="91"/>
  <c r="AE10" i="94"/>
  <c r="AE10" i="92"/>
  <c r="AE10" i="93"/>
  <c r="AE10" i="91"/>
  <c r="AE10" i="95"/>
  <c r="J16" i="32"/>
  <c r="J16" i="93"/>
  <c r="J16" i="92"/>
  <c r="Q21" i="79"/>
  <c r="A48" i="50"/>
  <c r="Q46" i="79"/>
  <c r="B15" i="95"/>
  <c r="B15" i="93"/>
  <c r="B15" i="91"/>
  <c r="B15" i="94"/>
  <c r="B15" i="92"/>
  <c r="F8" i="52"/>
  <c r="V35" i="50"/>
  <c r="V30" i="79"/>
  <c r="Q7" i="79"/>
  <c r="B32" i="95"/>
  <c r="B32" i="94"/>
  <c r="B32" i="92"/>
  <c r="B32" i="93"/>
  <c r="B32" i="91"/>
  <c r="B25" i="32"/>
  <c r="H23" i="32" s="1"/>
  <c r="B25" i="94"/>
  <c r="H23" i="94" s="1"/>
  <c r="B25" i="92"/>
  <c r="H23" i="92" s="1"/>
  <c r="B25" i="93"/>
  <c r="H23" i="93" s="1"/>
  <c r="B25" i="95"/>
  <c r="H23" i="95" s="1"/>
  <c r="B25" i="91"/>
  <c r="H23" i="91" s="1"/>
  <c r="B21" i="93"/>
  <c r="B21" i="91"/>
  <c r="B21" i="95"/>
  <c r="B21" i="94"/>
  <c r="B21" i="92"/>
  <c r="M568" i="53"/>
  <c r="B568" i="53" s="1"/>
  <c r="AX3" i="93"/>
  <c r="AX3" i="91"/>
  <c r="AX2" i="91"/>
  <c r="AZ2" i="91" s="1"/>
  <c r="AT8" i="95"/>
  <c r="AY2" i="95" s="1"/>
  <c r="AX3" i="95"/>
  <c r="AX2" i="95"/>
  <c r="AZ2" i="95" s="1"/>
  <c r="AX3" i="94"/>
  <c r="AT8" i="93"/>
  <c r="AY2" i="93" s="1"/>
  <c r="AX3" i="92"/>
  <c r="AX2" i="94"/>
  <c r="AZ2" i="94" s="1"/>
  <c r="AX2" i="92"/>
  <c r="AZ2" i="92" s="1"/>
  <c r="AT8" i="92"/>
  <c r="AY2" i="92" s="1"/>
  <c r="AT8" i="91"/>
  <c r="AY2" i="91" s="1"/>
  <c r="AX2" i="93"/>
  <c r="AZ2" i="93" s="1"/>
  <c r="AT8" i="94"/>
  <c r="AY2" i="94" s="1"/>
  <c r="Q13" i="79"/>
  <c r="B26" i="93"/>
  <c r="B26" i="91"/>
  <c r="B26" i="95"/>
  <c r="B26" i="94"/>
  <c r="B26" i="92"/>
  <c r="S5" i="50"/>
  <c r="A41" i="50"/>
  <c r="B17" i="93"/>
  <c r="B14" i="91"/>
  <c r="B19" i="95"/>
  <c r="B19" i="94"/>
  <c r="B14" i="94"/>
  <c r="B17" i="92"/>
  <c r="B17" i="95"/>
  <c r="B17" i="94"/>
  <c r="B14" i="92"/>
  <c r="B19" i="93"/>
  <c r="B14" i="93"/>
  <c r="B17" i="91"/>
  <c r="B14" i="95"/>
  <c r="A56" i="50"/>
  <c r="G29" i="93"/>
  <c r="G29" i="94"/>
  <c r="G29" i="92"/>
  <c r="G29" i="95"/>
  <c r="G29" i="91"/>
  <c r="AT13" i="91"/>
  <c r="AT13" i="95"/>
  <c r="AT13" i="94"/>
  <c r="AT13" i="92"/>
  <c r="AT13" i="93"/>
  <c r="FA5" i="50"/>
  <c r="BY13" i="50"/>
  <c r="A15" i="79"/>
  <c r="A14" i="79"/>
  <c r="A49" i="79"/>
  <c r="T30" i="52"/>
  <c r="H69" i="93"/>
  <c r="H69" i="91"/>
  <c r="H69" i="95"/>
  <c r="H69" i="94"/>
  <c r="H69" i="92"/>
  <c r="A42" i="50"/>
  <c r="T27" i="52"/>
  <c r="R23" i="52"/>
  <c r="R3" i="52"/>
  <c r="R28" i="52"/>
  <c r="R33" i="52"/>
  <c r="R55" i="52"/>
  <c r="R57" i="52"/>
  <c r="R8" i="81"/>
  <c r="S9" i="50"/>
  <c r="H69" i="32"/>
  <c r="T51" i="52"/>
  <c r="T2" i="52"/>
  <c r="F59" i="52"/>
  <c r="G59" i="52" s="1"/>
  <c r="F21" i="52"/>
  <c r="F2" i="52"/>
  <c r="F63" i="52"/>
  <c r="S24" i="32"/>
  <c r="U34" i="79"/>
  <c r="FC13" i="50"/>
  <c r="B13" i="93"/>
  <c r="B13" i="95"/>
  <c r="B13" i="94"/>
  <c r="B13" i="92"/>
  <c r="B13" i="91"/>
  <c r="S13" i="79"/>
  <c r="V10" i="79"/>
  <c r="AR19" i="93"/>
  <c r="AR19" i="92"/>
  <c r="AR19" i="95"/>
  <c r="AR19" i="91"/>
  <c r="AR19" i="94"/>
  <c r="A45" i="50"/>
  <c r="Q24" i="50"/>
  <c r="L10" i="52"/>
  <c r="H65" i="93"/>
  <c r="H65" i="95"/>
  <c r="H65" i="94"/>
  <c r="H65" i="92"/>
  <c r="H65" i="91"/>
  <c r="S8" i="50"/>
  <c r="X4" i="50"/>
  <c r="X54" i="32" s="1" a="1"/>
  <c r="X54" i="32" s="1"/>
  <c r="X55" i="94"/>
  <c r="X55" i="95"/>
  <c r="X55" i="92"/>
  <c r="X55" i="91"/>
  <c r="X55" i="93"/>
  <c r="BY35" i="50"/>
  <c r="AC8" i="32"/>
  <c r="F10" i="52"/>
  <c r="V32" i="50"/>
  <c r="B7" i="32"/>
  <c r="B7" i="95"/>
  <c r="B7" i="94"/>
  <c r="B7" i="93"/>
  <c r="B7" i="92"/>
  <c r="B7" i="91"/>
  <c r="BY5" i="50"/>
  <c r="X13" i="81"/>
  <c r="T33" i="52"/>
  <c r="R48" i="52"/>
  <c r="R58" i="52"/>
  <c r="R36" i="52"/>
  <c r="R7" i="52"/>
  <c r="R59" i="52"/>
  <c r="T13" i="52"/>
  <c r="T56" i="52"/>
  <c r="T49" i="52"/>
  <c r="BY32" i="50"/>
  <c r="V5" i="96"/>
  <c r="T7" i="52"/>
  <c r="T58" i="52"/>
  <c r="F18" i="52"/>
  <c r="F27" i="52"/>
  <c r="F51" i="52"/>
  <c r="Q52" i="79"/>
  <c r="A35" i="50"/>
  <c r="A37" i="50"/>
  <c r="U38" i="79"/>
  <c r="X56" i="93"/>
  <c r="X56" i="92"/>
  <c r="R28" i="50"/>
  <c r="V17" i="79"/>
  <c r="AF9" i="95"/>
  <c r="AF9" i="94"/>
  <c r="AM14" i="95"/>
  <c r="AD14" i="95"/>
  <c r="AM14" i="94"/>
  <c r="AF9" i="93"/>
  <c r="AD14" i="92"/>
  <c r="AM14" i="93"/>
  <c r="AD14" i="93"/>
  <c r="AF25" i="91"/>
  <c r="AF9" i="91"/>
  <c r="AF25" i="95"/>
  <c r="AF25" i="94"/>
  <c r="AF25" i="92"/>
  <c r="AM14" i="92"/>
  <c r="AD14" i="91"/>
  <c r="AF25" i="93"/>
  <c r="AF9" i="92"/>
  <c r="AD14" i="94"/>
  <c r="AM14" i="91"/>
  <c r="AF30" i="91"/>
  <c r="AF30" i="95"/>
  <c r="AF30" i="93"/>
  <c r="AF30" i="94"/>
  <c r="AF30" i="92"/>
  <c r="C78" i="53"/>
  <c r="A52" i="50"/>
  <c r="AL19" i="93"/>
  <c r="AL19" i="95"/>
  <c r="AL19" i="94"/>
  <c r="AL19" i="92"/>
  <c r="AL19" i="91"/>
  <c r="V39" i="79"/>
  <c r="A67" i="50"/>
  <c r="H71" i="93"/>
  <c r="H71" i="95"/>
  <c r="H71" i="94"/>
  <c r="H71" i="92"/>
  <c r="H71" i="91"/>
  <c r="B12" i="93"/>
  <c r="B12" i="95"/>
  <c r="B12" i="94"/>
  <c r="B12" i="92"/>
  <c r="B12" i="91"/>
  <c r="A62" i="50"/>
  <c r="Q66" i="50"/>
  <c r="H68" i="95"/>
  <c r="H68" i="94"/>
  <c r="H68" i="92"/>
  <c r="H68" i="93"/>
  <c r="H68" i="91"/>
  <c r="S7" i="93"/>
  <c r="S7" i="91"/>
  <c r="S7" i="95"/>
  <c r="S7" i="94"/>
  <c r="S7" i="92"/>
  <c r="R50" i="52"/>
  <c r="R8" i="52"/>
  <c r="S17" i="50"/>
  <c r="T15" i="52"/>
  <c r="T23" i="52"/>
  <c r="F22" i="52"/>
  <c r="C80" i="53"/>
  <c r="Q26" i="79"/>
  <c r="V37" i="81"/>
  <c r="R37" i="52"/>
  <c r="R5" i="52"/>
  <c r="R14" i="52"/>
  <c r="R12" i="52"/>
  <c r="R52" i="52"/>
  <c r="R64" i="52"/>
  <c r="T46" i="52"/>
  <c r="T45" i="52"/>
  <c r="D79" i="53"/>
  <c r="EN3" i="50"/>
  <c r="T63" i="52"/>
  <c r="T8" i="52"/>
  <c r="F17" i="52"/>
  <c r="F58" i="52"/>
  <c r="F30" i="52"/>
  <c r="R43" i="79"/>
  <c r="E8" i="91"/>
  <c r="E8" i="95"/>
  <c r="E8" i="92"/>
  <c r="E8" i="93"/>
  <c r="E8" i="94"/>
  <c r="CA33" i="50"/>
  <c r="V40" i="50"/>
  <c r="B28" i="93"/>
  <c r="B28" i="91"/>
  <c r="B28" i="95"/>
  <c r="B28" i="94"/>
  <c r="B28" i="92"/>
  <c r="B8" i="21"/>
  <c r="K54" i="93" a="1"/>
  <c r="K54" i="92" a="1"/>
  <c r="A51" i="50"/>
  <c r="FC7" i="50"/>
  <c r="R18" i="79"/>
  <c r="V36" i="79"/>
  <c r="R31" i="79"/>
  <c r="M12" i="50"/>
  <c r="N12" i="50" s="1"/>
  <c r="H38" i="94"/>
  <c r="H38" i="93"/>
  <c r="H38" i="95"/>
  <c r="H38" i="92"/>
  <c r="H61" i="93"/>
  <c r="H61" i="91"/>
  <c r="H61" i="95"/>
  <c r="H61" i="94"/>
  <c r="H61" i="92"/>
  <c r="FF3" i="50"/>
  <c r="S12" i="79"/>
  <c r="Q55" i="50"/>
  <c r="B33" i="94"/>
  <c r="B33" i="92"/>
  <c r="B33" i="93"/>
  <c r="B33" i="95"/>
  <c r="B33" i="91"/>
  <c r="S24" i="91"/>
  <c r="S24" i="95"/>
  <c r="S24" i="93"/>
  <c r="S24" i="92"/>
  <c r="S24" i="94"/>
  <c r="T43" i="52"/>
  <c r="R45" i="52"/>
  <c r="R18" i="52"/>
  <c r="R54" i="52"/>
  <c r="V43" i="81"/>
  <c r="Q34" i="79"/>
  <c r="BY5" i="79"/>
  <c r="T52" i="52"/>
  <c r="R13" i="79"/>
  <c r="S7" i="32"/>
  <c r="R29" i="52"/>
  <c r="R42" i="52"/>
  <c r="R21" i="52"/>
  <c r="R13" i="52"/>
  <c r="R51" i="52"/>
  <c r="T41" i="52"/>
  <c r="Q27" i="50"/>
  <c r="T9" i="52"/>
  <c r="T62" i="52"/>
  <c r="F47" i="52"/>
  <c r="F13" i="52"/>
  <c r="F50" i="52"/>
  <c r="Q12" i="50"/>
  <c r="A47" i="79"/>
  <c r="BY6" i="79"/>
  <c r="V38" i="79"/>
  <c r="B8" i="91"/>
  <c r="B8" i="94"/>
  <c r="B8" i="92"/>
  <c r="B8" i="95"/>
  <c r="B8" i="93"/>
  <c r="V12" i="50"/>
  <c r="AP2" i="91"/>
  <c r="AP2" i="93"/>
  <c r="AP2" i="95"/>
  <c r="AP2" i="94"/>
  <c r="AP2" i="92"/>
  <c r="H67" i="91"/>
  <c r="H67" i="95"/>
  <c r="H67" i="94"/>
  <c r="H67" i="92"/>
  <c r="H67" i="93"/>
  <c r="J29" i="95"/>
  <c r="J29" i="91"/>
  <c r="J29" i="93"/>
  <c r="J29" i="94"/>
  <c r="J29" i="92"/>
  <c r="C37" i="81"/>
  <c r="B24" i="91"/>
  <c r="B24" i="95"/>
  <c r="B24" i="94"/>
  <c r="B24" i="92"/>
  <c r="B24" i="93"/>
  <c r="M11" i="50"/>
  <c r="N11" i="50" s="1"/>
  <c r="H37" i="95"/>
  <c r="H37" i="94"/>
  <c r="R53" i="52"/>
  <c r="F54" i="52"/>
  <c r="U33" i="50"/>
  <c r="BY3" i="50"/>
  <c r="AC24" i="32"/>
  <c r="T50" i="52"/>
  <c r="R26" i="52"/>
  <c r="R4" i="52"/>
  <c r="R6" i="52"/>
  <c r="R9" i="52"/>
  <c r="R47" i="52"/>
  <c r="AC5" i="52"/>
  <c r="N5" i="32"/>
  <c r="T26" i="52"/>
  <c r="T54" i="52"/>
  <c r="T4" i="52"/>
  <c r="F3" i="52"/>
  <c r="F9" i="52"/>
  <c r="F25" i="52"/>
  <c r="R5" i="79"/>
  <c r="B92" i="53"/>
  <c r="V24" i="96" s="1"/>
  <c r="A6" i="50"/>
  <c r="B27" i="91"/>
  <c r="B27" i="95"/>
  <c r="B27" i="94"/>
  <c r="B27" i="92"/>
  <c r="B27" i="93"/>
  <c r="Q28" i="50"/>
  <c r="R39" i="50"/>
  <c r="C32" i="96"/>
  <c r="B30" i="91"/>
  <c r="B30" i="95"/>
  <c r="B30" i="94"/>
  <c r="B30" i="93"/>
  <c r="B30" i="92"/>
  <c r="K61" i="93"/>
  <c r="K61" i="91"/>
  <c r="K61" i="95"/>
  <c r="K61" i="94"/>
  <c r="K61" i="92"/>
  <c r="A25" i="50"/>
  <c r="A4" i="50"/>
  <c r="T4" i="79"/>
  <c r="U6" i="79"/>
  <c r="X54" i="95"/>
  <c r="X54" i="93"/>
  <c r="X54" i="94"/>
  <c r="X54" i="92"/>
  <c r="X54" i="91"/>
  <c r="T55" i="95"/>
  <c r="T55" i="94"/>
  <c r="T55" i="93"/>
  <c r="T55" i="91"/>
  <c r="T55" i="92"/>
  <c r="FE3" i="50"/>
  <c r="T56" i="95"/>
  <c r="T56" i="94"/>
  <c r="T56" i="93"/>
  <c r="B28" i="32"/>
  <c r="Q51" i="50"/>
  <c r="U30" i="79"/>
  <c r="C8" i="52"/>
  <c r="D8" i="52" s="1"/>
  <c r="C27" i="81"/>
  <c r="A10" i="79"/>
  <c r="R14" i="50"/>
  <c r="Q29" i="79"/>
  <c r="A31" i="50"/>
  <c r="U11" i="79"/>
  <c r="A64" i="50"/>
  <c r="T18" i="52"/>
  <c r="A53" i="50"/>
  <c r="A36" i="79"/>
  <c r="Q21" i="50"/>
  <c r="R31" i="50"/>
  <c r="U35" i="50"/>
  <c r="F20" i="52"/>
  <c r="E17" i="52"/>
  <c r="Q9" i="50"/>
  <c r="A43" i="50"/>
  <c r="AE10" i="32"/>
  <c r="C17" i="52"/>
  <c r="D17" i="52" s="1"/>
  <c r="Q8" i="79"/>
  <c r="Q67" i="50"/>
  <c r="S13" i="50"/>
  <c r="S8" i="79"/>
  <c r="K28" i="81"/>
  <c r="C18" i="52"/>
  <c r="D18" i="52" s="1"/>
  <c r="A46" i="79"/>
  <c r="A2" i="32"/>
  <c r="D12" i="71" s="1"/>
  <c r="FC12" i="50"/>
  <c r="Z8" i="81"/>
  <c r="F40" i="52"/>
  <c r="F61" i="52"/>
  <c r="F33" i="52"/>
  <c r="V11" i="79"/>
  <c r="F42" i="52"/>
  <c r="A61" i="50"/>
  <c r="C64" i="52"/>
  <c r="D64" i="52" s="1"/>
  <c r="R16" i="79"/>
  <c r="C54" i="52"/>
  <c r="D54" i="52" s="1"/>
  <c r="R19" i="50"/>
  <c r="A13" i="50"/>
  <c r="C45" i="52"/>
  <c r="AH8" i="81"/>
  <c r="Q32" i="50"/>
  <c r="R39" i="79"/>
  <c r="F26" i="52"/>
  <c r="V20" i="50"/>
  <c r="FC8" i="50"/>
  <c r="C9" i="52"/>
  <c r="D9" i="52" s="1"/>
  <c r="H61" i="32"/>
  <c r="F35" i="52"/>
  <c r="F5" i="52"/>
  <c r="F15" i="52"/>
  <c r="U11" i="50"/>
  <c r="Q11" i="79"/>
  <c r="U32" i="50"/>
  <c r="V11" i="50"/>
  <c r="Q55" i="79"/>
  <c r="N10" i="52"/>
  <c r="V52" i="52"/>
  <c r="E63" i="52"/>
  <c r="V38" i="50"/>
  <c r="V17" i="52"/>
  <c r="T24" i="52"/>
  <c r="S9" i="79"/>
  <c r="N61" i="52"/>
  <c r="Q9" i="79"/>
  <c r="E51" i="52"/>
  <c r="N43" i="52"/>
  <c r="N50" i="52"/>
  <c r="BY16" i="79"/>
  <c r="BY15" i="50"/>
  <c r="S14" i="50"/>
  <c r="E7" i="52"/>
  <c r="N53" i="52"/>
  <c r="N8" i="52"/>
  <c r="N29" i="52"/>
  <c r="BZ32" i="50"/>
  <c r="N6" i="52"/>
  <c r="E29" i="52"/>
  <c r="N30" i="52"/>
  <c r="E12" i="52"/>
  <c r="N21" i="52"/>
  <c r="N64" i="52"/>
  <c r="N23" i="52"/>
  <c r="BZ33" i="50"/>
  <c r="E37" i="52"/>
  <c r="N55" i="52"/>
  <c r="N17" i="52"/>
  <c r="N4" i="52"/>
  <c r="N42" i="52"/>
  <c r="N13" i="52"/>
  <c r="N39" i="52"/>
  <c r="E42" i="52"/>
  <c r="Q10" i="50"/>
  <c r="E53" i="52"/>
  <c r="N2" i="52"/>
  <c r="N34" i="52"/>
  <c r="E4" i="52"/>
  <c r="N44" i="52"/>
  <c r="N45" i="52"/>
  <c r="V15" i="79"/>
  <c r="N31" i="52"/>
  <c r="B14" i="81"/>
  <c r="D14" i="81" s="1"/>
  <c r="N40" i="52"/>
  <c r="N22" i="52"/>
  <c r="R18" i="50"/>
  <c r="AT8" i="32"/>
  <c r="AY2" i="32" s="1"/>
  <c r="C11" i="81"/>
  <c r="BY14" i="50"/>
  <c r="N46" i="52"/>
  <c r="N59" i="52"/>
  <c r="Q33" i="79"/>
  <c r="AT15" i="32"/>
  <c r="R9" i="79"/>
  <c r="AX2" i="32"/>
  <c r="AZ2" i="32" s="1"/>
  <c r="E55" i="52"/>
  <c r="N37" i="52"/>
  <c r="N58" i="52"/>
  <c r="N32" i="52"/>
  <c r="N41" i="52"/>
  <c r="V8" i="52"/>
  <c r="S7" i="50"/>
  <c r="V26" i="52"/>
  <c r="AC2" i="52"/>
  <c r="N20" i="52"/>
  <c r="N5" i="52"/>
  <c r="N54" i="52"/>
  <c r="N26" i="52"/>
  <c r="U15" i="79"/>
  <c r="AO31" i="32"/>
  <c r="AF48" i="81"/>
  <c r="R21" i="79"/>
  <c r="V44" i="52"/>
  <c r="Q6" i="79"/>
  <c r="N36" i="52"/>
  <c r="N28" i="52"/>
  <c r="N60" i="52"/>
  <c r="N24" i="52"/>
  <c r="N7" i="52"/>
  <c r="V15" i="50"/>
  <c r="Q13" i="50"/>
  <c r="V16" i="79"/>
  <c r="U16" i="79"/>
  <c r="V20" i="52"/>
  <c r="N15" i="52"/>
  <c r="N51" i="52"/>
  <c r="N33" i="52"/>
  <c r="N25" i="52"/>
  <c r="CA35" i="50"/>
  <c r="N62" i="52"/>
  <c r="V11" i="52"/>
  <c r="N3" i="52"/>
  <c r="N48" i="52"/>
  <c r="N14" i="52"/>
  <c r="H66" i="32"/>
  <c r="CA34" i="50"/>
  <c r="Q26" i="50"/>
  <c r="Q36" i="50"/>
  <c r="V34" i="79"/>
  <c r="V24" i="52"/>
  <c r="L5" i="71"/>
  <c r="V37" i="79"/>
  <c r="S11" i="79"/>
  <c r="EY4" i="50"/>
  <c r="V56" i="52"/>
  <c r="BY15" i="79"/>
  <c r="N57" i="52"/>
  <c r="N56" i="52"/>
  <c r="N16" i="52"/>
  <c r="N9" i="52"/>
  <c r="Y5" i="71"/>
  <c r="R42" i="79"/>
  <c r="V5" i="52"/>
  <c r="Q60" i="50"/>
  <c r="F19" i="50"/>
  <c r="N11" i="52"/>
  <c r="N52" i="52"/>
  <c r="N63" i="52"/>
  <c r="N12" i="52"/>
  <c r="A27" i="50"/>
  <c r="R37" i="50"/>
  <c r="Q37" i="50"/>
  <c r="V53" i="52"/>
  <c r="N35" i="52"/>
  <c r="N47" i="52"/>
  <c r="N27" i="52"/>
  <c r="N38" i="52"/>
  <c r="N18" i="52"/>
  <c r="U15" i="50"/>
  <c r="FA9" i="50"/>
  <c r="C17" i="73"/>
  <c r="Q14" i="50"/>
  <c r="T40" i="52"/>
  <c r="A14" i="50"/>
  <c r="A46" i="50"/>
  <c r="A22" i="50"/>
  <c r="A44" i="79"/>
  <c r="A20" i="79"/>
  <c r="A40" i="79"/>
  <c r="A21" i="50"/>
  <c r="V54" i="52"/>
  <c r="V13" i="52"/>
  <c r="V57" i="52"/>
  <c r="V37" i="52"/>
  <c r="V2" i="52"/>
  <c r="V21" i="52"/>
  <c r="V30" i="52"/>
  <c r="Y6" i="71"/>
  <c r="R46" i="79"/>
  <c r="Q49" i="50"/>
  <c r="V48" i="52"/>
  <c r="V60" i="52"/>
  <c r="V28" i="52"/>
  <c r="V38" i="52"/>
  <c r="V43" i="52"/>
  <c r="V19" i="52"/>
  <c r="Q7" i="50"/>
  <c r="Q40" i="79"/>
  <c r="C15" i="73"/>
  <c r="FA6" i="50"/>
  <c r="V14" i="50"/>
  <c r="S16" i="79"/>
  <c r="C49" i="52"/>
  <c r="D49" i="52" s="1"/>
  <c r="R7" i="50"/>
  <c r="C12" i="96"/>
  <c r="E19" i="80"/>
  <c r="A22" i="79"/>
  <c r="V22" i="52"/>
  <c r="V61" i="52"/>
  <c r="V40" i="52"/>
  <c r="V16" i="52"/>
  <c r="V4" i="52"/>
  <c r="U22" i="79"/>
  <c r="R25" i="50"/>
  <c r="V32" i="52"/>
  <c r="V42" i="52"/>
  <c r="AC6" i="52"/>
  <c r="V58" i="52"/>
  <c r="V55" i="52"/>
  <c r="V6" i="52"/>
  <c r="Q43" i="50"/>
  <c r="U9" i="79"/>
  <c r="V39" i="52"/>
  <c r="V62" i="52"/>
  <c r="V41" i="79"/>
  <c r="R27" i="79"/>
  <c r="C82" i="53"/>
  <c r="DN4" i="79"/>
  <c r="R19" i="79"/>
  <c r="DP3" i="50"/>
  <c r="V28" i="50"/>
  <c r="V28" i="79"/>
  <c r="V18" i="52"/>
  <c r="V64" i="52"/>
  <c r="V15" i="52"/>
  <c r="V25" i="52"/>
  <c r="V47" i="52"/>
  <c r="V29" i="52"/>
  <c r="R40" i="50"/>
  <c r="V22" i="50"/>
  <c r="A26" i="79"/>
  <c r="A28" i="50"/>
  <c r="S21" i="50"/>
  <c r="S11" i="50"/>
  <c r="T5" i="79"/>
  <c r="Q32" i="79"/>
  <c r="V12" i="52"/>
  <c r="V34" i="52"/>
  <c r="V7" i="52"/>
  <c r="V9" i="52"/>
  <c r="V49" i="52"/>
  <c r="V31" i="52"/>
  <c r="V50" i="52"/>
  <c r="V14" i="52"/>
  <c r="V27" i="52"/>
  <c r="Q59" i="79"/>
  <c r="D81" i="53"/>
  <c r="EY5" i="50"/>
  <c r="R12" i="50"/>
  <c r="DP3" i="79"/>
  <c r="U14" i="50"/>
  <c r="A23" i="79"/>
  <c r="T19" i="52"/>
  <c r="V23" i="52"/>
  <c r="V35" i="52"/>
  <c r="V63" i="52"/>
  <c r="V3" i="52"/>
  <c r="V10" i="52"/>
  <c r="U38" i="50"/>
  <c r="V9" i="79"/>
  <c r="V9" i="50"/>
  <c r="R33" i="79"/>
  <c r="U28" i="79"/>
  <c r="U22" i="50"/>
  <c r="V33" i="52"/>
  <c r="V41" i="52"/>
  <c r="V46" i="52"/>
  <c r="V36" i="52"/>
  <c r="V51" i="52"/>
  <c r="A41" i="79"/>
  <c r="C33" i="52"/>
  <c r="D33" i="52" s="1"/>
  <c r="V59" i="52"/>
  <c r="H70" i="32"/>
  <c r="A47" i="50"/>
  <c r="U28" i="50"/>
  <c r="N49" i="52"/>
  <c r="T44" i="52"/>
  <c r="E3" i="52"/>
  <c r="Q8" i="50"/>
  <c r="T28" i="52"/>
  <c r="T57" i="52"/>
  <c r="E47" i="52"/>
  <c r="S7" i="79"/>
  <c r="E18" i="52"/>
  <c r="E15" i="52"/>
  <c r="E25" i="52"/>
  <c r="T38" i="52"/>
  <c r="E57" i="52"/>
  <c r="G57" i="52" s="1"/>
  <c r="T34" i="52"/>
  <c r="C30" i="96"/>
  <c r="Q47" i="50"/>
  <c r="C7" i="52"/>
  <c r="D7" i="52" s="1"/>
  <c r="F49" i="52"/>
  <c r="F28" i="52"/>
  <c r="U36" i="79"/>
  <c r="FA3" i="50"/>
  <c r="B11" i="32"/>
  <c r="Q34" i="50"/>
  <c r="R14" i="79"/>
  <c r="C52" i="52"/>
  <c r="D52" i="52" s="1"/>
  <c r="C44" i="52"/>
  <c r="D44" i="52" s="1"/>
  <c r="C27" i="52"/>
  <c r="D27" i="52" s="1"/>
  <c r="R41" i="79"/>
  <c r="U13" i="50"/>
  <c r="A8" i="79"/>
  <c r="U37" i="50"/>
  <c r="C19" i="81"/>
  <c r="U43" i="79"/>
  <c r="U40" i="79"/>
  <c r="R45" i="79"/>
  <c r="V37" i="50"/>
  <c r="B30" i="73"/>
  <c r="Q25" i="79"/>
  <c r="C30" i="52"/>
  <c r="D30" i="52" s="1"/>
  <c r="C15" i="52"/>
  <c r="D15" i="52" s="1"/>
  <c r="A20" i="50"/>
  <c r="V33" i="79"/>
  <c r="F46" i="52"/>
  <c r="V26" i="50"/>
  <c r="Q54" i="79"/>
  <c r="V13" i="50"/>
  <c r="Q62" i="50"/>
  <c r="U32" i="79"/>
  <c r="Q50" i="79"/>
  <c r="R34" i="50"/>
  <c r="F24" i="52"/>
  <c r="Q44" i="79"/>
  <c r="U34" i="50"/>
  <c r="V13" i="79"/>
  <c r="V43" i="79"/>
  <c r="Q59" i="50"/>
  <c r="Q30" i="50"/>
  <c r="V6" i="79"/>
  <c r="R37" i="79"/>
  <c r="A7" i="50"/>
  <c r="V34" i="50"/>
  <c r="Q51" i="79"/>
  <c r="F36" i="52"/>
  <c r="R29" i="50"/>
  <c r="R42" i="50"/>
  <c r="Q27" i="79"/>
  <c r="R10" i="50"/>
  <c r="R48" i="79"/>
  <c r="Q61" i="79"/>
  <c r="V7" i="79"/>
  <c r="C45" i="81"/>
  <c r="U40" i="50"/>
  <c r="V7" i="50"/>
  <c r="Q5" i="79"/>
  <c r="Q6" i="50"/>
  <c r="S5" i="79"/>
  <c r="S10" i="50"/>
  <c r="C25" i="81"/>
  <c r="BY13" i="79"/>
  <c r="A3" i="79"/>
  <c r="A3" i="50"/>
  <c r="B22" i="21"/>
  <c r="FC4" i="50"/>
  <c r="BY4" i="50"/>
  <c r="BY4" i="79"/>
  <c r="L62" i="52"/>
  <c r="L41" i="52"/>
  <c r="L43" i="52"/>
  <c r="L32" i="52"/>
  <c r="L51" i="52"/>
  <c r="L48" i="52"/>
  <c r="L29" i="52"/>
  <c r="AT13" i="32"/>
  <c r="C23" i="81"/>
  <c r="S18" i="50"/>
  <c r="R13" i="50"/>
  <c r="AR19" i="32"/>
  <c r="H65" i="32"/>
  <c r="A35" i="79"/>
  <c r="T20" i="52"/>
  <c r="Q15" i="79"/>
  <c r="V4" i="79"/>
  <c r="R6" i="79"/>
  <c r="Q15" i="50"/>
  <c r="V4" i="50"/>
  <c r="L31" i="52"/>
  <c r="L6" i="52"/>
  <c r="U10" i="79"/>
  <c r="B26" i="73"/>
  <c r="L40" i="52"/>
  <c r="C15" i="81"/>
  <c r="B35" i="73"/>
  <c r="U33" i="79"/>
  <c r="V31" i="50"/>
  <c r="R41" i="50"/>
  <c r="U42" i="79"/>
  <c r="Q61" i="50"/>
  <c r="V39" i="50"/>
  <c r="L54" i="52"/>
  <c r="L64" i="52"/>
  <c r="L36" i="52"/>
  <c r="L60" i="52"/>
  <c r="V10" i="50"/>
  <c r="AM24" i="81"/>
  <c r="A15" i="50"/>
  <c r="M10" i="50"/>
  <c r="N10" i="50" s="1"/>
  <c r="C13" i="81"/>
  <c r="BY14" i="79"/>
  <c r="A39" i="79"/>
  <c r="T36" i="52"/>
  <c r="C11" i="52"/>
  <c r="D11" i="52" s="1"/>
  <c r="C20" i="52"/>
  <c r="D20" i="52" s="1"/>
  <c r="C25" i="52"/>
  <c r="D25" i="52" s="1"/>
  <c r="C36" i="52"/>
  <c r="D36" i="52" s="1"/>
  <c r="C13" i="52"/>
  <c r="D13" i="52" s="1"/>
  <c r="C10" i="52"/>
  <c r="D10" i="52" s="1"/>
  <c r="C24" i="52"/>
  <c r="D24" i="52" s="1"/>
  <c r="C3" i="52"/>
  <c r="D3" i="52" s="1"/>
  <c r="C26" i="52"/>
  <c r="D26" i="52" s="1"/>
  <c r="C5" i="52"/>
  <c r="D5" i="52" s="1"/>
  <c r="C2" i="52"/>
  <c r="D2" i="52" s="1"/>
  <c r="C39" i="52"/>
  <c r="D39" i="52" s="1"/>
  <c r="C23" i="52"/>
  <c r="D23" i="52" s="1"/>
  <c r="C21" i="52"/>
  <c r="D21" i="52" s="1"/>
  <c r="C51" i="52"/>
  <c r="D51" i="52" s="1"/>
  <c r="C4" i="52"/>
  <c r="D4" i="52" s="1"/>
  <c r="C50" i="52"/>
  <c r="D50" i="52" s="1"/>
  <c r="DN2" i="79"/>
  <c r="C56" i="52"/>
  <c r="D56" i="52" s="1"/>
  <c r="C12" i="52"/>
  <c r="D12" i="52" s="1"/>
  <c r="C35" i="52"/>
  <c r="D35" i="52" s="1"/>
  <c r="DN2" i="50"/>
  <c r="C58" i="52"/>
  <c r="D58" i="52" s="1"/>
  <c r="C22" i="52"/>
  <c r="D22" i="52" s="1"/>
  <c r="C37" i="52"/>
  <c r="D37" i="52" s="1"/>
  <c r="L52" i="52"/>
  <c r="L46" i="52"/>
  <c r="L57" i="52"/>
  <c r="L58" i="52"/>
  <c r="L59" i="52"/>
  <c r="L4" i="52"/>
  <c r="L56" i="52"/>
  <c r="U10" i="50"/>
  <c r="C22" i="96"/>
  <c r="L7" i="52"/>
  <c r="L26" i="52"/>
  <c r="L18" i="52"/>
  <c r="L23" i="52"/>
  <c r="L9" i="52"/>
  <c r="AX3" i="32"/>
  <c r="Q60" i="79"/>
  <c r="R15" i="79"/>
  <c r="R47" i="79"/>
  <c r="L11" i="52"/>
  <c r="T60" i="52"/>
  <c r="A23" i="50"/>
  <c r="A21" i="79"/>
  <c r="E33" i="52"/>
  <c r="E9" i="52"/>
  <c r="L17" i="52"/>
  <c r="AC1" i="52"/>
  <c r="L44" i="52"/>
  <c r="L50" i="52"/>
  <c r="L14" i="52"/>
  <c r="Q5" i="50"/>
  <c r="A39" i="50"/>
  <c r="T53" i="52"/>
  <c r="Q25" i="50"/>
  <c r="Q12" i="79"/>
  <c r="BR2" i="79"/>
  <c r="BR2" i="50"/>
  <c r="AU19" i="32" s="1"/>
  <c r="Q35" i="50"/>
  <c r="V14" i="79"/>
  <c r="R17" i="50"/>
  <c r="U14" i="79"/>
  <c r="C87" i="53"/>
  <c r="A27" i="79"/>
  <c r="V42" i="79"/>
  <c r="G29" i="32"/>
  <c r="A33" i="79"/>
  <c r="V16" i="50"/>
  <c r="U16" i="50"/>
  <c r="V20" i="79"/>
  <c r="U20" i="50"/>
  <c r="U20" i="79"/>
  <c r="R23" i="50"/>
  <c r="Q41" i="50"/>
  <c r="X29" i="81"/>
  <c r="AG24" i="81"/>
  <c r="M24" i="73"/>
  <c r="R5" i="32"/>
  <c r="V5" i="32"/>
  <c r="F56" i="52"/>
  <c r="F48" i="52"/>
  <c r="L49" i="52"/>
  <c r="L22" i="52"/>
  <c r="L21" i="52"/>
  <c r="L15" i="52"/>
  <c r="L19" i="52"/>
  <c r="L55" i="52"/>
  <c r="L2" i="52"/>
  <c r="L47" i="52"/>
  <c r="L39" i="52"/>
  <c r="L16" i="52"/>
  <c r="Q18" i="50"/>
  <c r="B72" i="21"/>
  <c r="L27" i="52"/>
  <c r="T31" i="52"/>
  <c r="T25" i="52"/>
  <c r="A60" i="50"/>
  <c r="F17" i="50"/>
  <c r="B15" i="32"/>
  <c r="C55" i="52"/>
  <c r="D55" i="52" s="1"/>
  <c r="C34" i="52"/>
  <c r="D34" i="52" s="1"/>
  <c r="C62" i="52"/>
  <c r="D62" i="52" s="1"/>
  <c r="C46" i="52"/>
  <c r="D46" i="52" s="1"/>
  <c r="C63" i="52"/>
  <c r="D63" i="52" s="1"/>
  <c r="C48" i="52"/>
  <c r="D48" i="52" s="1"/>
  <c r="C31" i="52"/>
  <c r="D31" i="52" s="1"/>
  <c r="C32" i="52"/>
  <c r="D32" i="52" s="1"/>
  <c r="C47" i="52"/>
  <c r="D47" i="52" s="1"/>
  <c r="C14" i="81"/>
  <c r="E14" i="81" s="1"/>
  <c r="T14" i="52"/>
  <c r="T3" i="52"/>
  <c r="F16" i="50"/>
  <c r="A59" i="50"/>
  <c r="F17" i="79"/>
  <c r="C39" i="81"/>
  <c r="I36" i="81" s="1"/>
  <c r="DP2" i="50"/>
  <c r="B15" i="81"/>
  <c r="S18" i="79"/>
  <c r="Q23" i="79"/>
  <c r="A26" i="50"/>
  <c r="A25" i="79"/>
  <c r="V8" i="50"/>
  <c r="Q29" i="50"/>
  <c r="U8" i="50"/>
  <c r="U8" i="79"/>
  <c r="A34" i="79"/>
  <c r="A40" i="50"/>
  <c r="D60" i="52"/>
  <c r="D14" i="52"/>
  <c r="D59" i="52"/>
  <c r="D40" i="52"/>
  <c r="U18" i="79"/>
  <c r="Q39" i="50"/>
  <c r="Q36" i="79"/>
  <c r="V18" i="50"/>
  <c r="R23" i="79"/>
  <c r="V18" i="79"/>
  <c r="R21" i="50"/>
  <c r="U18" i="50"/>
  <c r="AY276" i="6"/>
  <c r="BD306" i="6"/>
  <c r="BE306" i="6" s="1"/>
  <c r="BD308" i="6"/>
  <c r="BE308" i="6" s="1"/>
  <c r="BD335" i="6"/>
  <c r="BE335" i="6" s="1"/>
  <c r="BD313" i="6"/>
  <c r="BE313" i="6" s="1"/>
  <c r="BD298" i="6"/>
  <c r="BE298" i="6" s="1"/>
  <c r="BD324" i="6"/>
  <c r="BE324" i="6" s="1"/>
  <c r="BD304" i="6"/>
  <c r="BE304" i="6" s="1"/>
  <c r="BD311" i="6"/>
  <c r="BE311" i="6" s="1"/>
  <c r="BD326" i="6"/>
  <c r="BE326" i="6" s="1"/>
  <c r="BD330" i="6"/>
  <c r="BE330" i="6" s="1"/>
  <c r="BD316" i="6"/>
  <c r="BE316" i="6" s="1"/>
  <c r="BD297" i="6"/>
  <c r="BE297" i="6" s="1"/>
  <c r="BD332" i="6"/>
  <c r="BE332" i="6" s="1"/>
  <c r="BD334" i="6"/>
  <c r="BE334" i="6" s="1"/>
  <c r="BD327" i="6"/>
  <c r="BE327" i="6" s="1"/>
  <c r="BD300" i="6"/>
  <c r="BE300" i="6" s="1"/>
  <c r="BD321" i="6"/>
  <c r="BE321" i="6" s="1"/>
  <c r="BD309" i="6"/>
  <c r="BE309" i="6" s="1"/>
  <c r="BD295" i="6"/>
  <c r="BE295" i="6" s="1"/>
  <c r="BD328" i="6"/>
  <c r="BE328" i="6" s="1"/>
  <c r="BD307" i="6"/>
  <c r="BE307" i="6" s="1"/>
  <c r="BD303" i="6"/>
  <c r="BE303" i="6" s="1"/>
  <c r="BD333" i="6"/>
  <c r="BE333" i="6" s="1"/>
  <c r="BD305" i="6"/>
  <c r="BE305" i="6" s="1"/>
  <c r="BD329" i="6"/>
  <c r="BE329" i="6" s="1"/>
  <c r="BD314" i="6"/>
  <c r="BE314" i="6" s="1"/>
  <c r="BD296" i="6"/>
  <c r="BE296" i="6" s="1"/>
  <c r="BD310" i="6"/>
  <c r="BE310" i="6" s="1"/>
  <c r="BD299" i="6"/>
  <c r="BE299" i="6" s="1"/>
  <c r="BD317" i="6"/>
  <c r="BE317" i="6" s="1"/>
  <c r="BD312" i="6"/>
  <c r="BE312" i="6" s="1"/>
  <c r="BD301" i="6"/>
  <c r="BE301" i="6" s="1"/>
  <c r="BD319" i="6"/>
  <c r="BE319" i="6" s="1"/>
  <c r="BD318" i="6"/>
  <c r="BE318" i="6" s="1"/>
  <c r="BD322" i="6"/>
  <c r="BE322" i="6" s="1"/>
  <c r="BD302" i="6"/>
  <c r="BE302" i="6" s="1"/>
  <c r="BD323" i="6"/>
  <c r="BE323" i="6" s="1"/>
  <c r="BD325" i="6"/>
  <c r="BE325" i="6" s="1"/>
  <c r="BD331" i="6"/>
  <c r="BE331" i="6" s="1"/>
  <c r="BD315" i="6"/>
  <c r="BE315" i="6" s="1"/>
  <c r="BD320" i="6"/>
  <c r="BE320" i="6" s="1"/>
  <c r="AN305" i="6"/>
  <c r="AO305" i="6" s="1"/>
  <c r="AN199" i="6"/>
  <c r="AO199" i="6" s="1"/>
  <c r="AN198" i="6"/>
  <c r="AO198" i="6" s="1"/>
  <c r="AN245" i="6"/>
  <c r="AO245" i="6" s="1"/>
  <c r="AN141" i="6"/>
  <c r="AO141" i="6" s="1"/>
  <c r="AN193" i="6"/>
  <c r="AO193" i="6" s="1"/>
  <c r="AY331" i="6"/>
  <c r="AN243" i="6"/>
  <c r="AO243" i="6" s="1"/>
  <c r="AN41" i="6"/>
  <c r="AO41" i="6" s="1"/>
  <c r="AN246" i="6"/>
  <c r="AO246" i="6" s="1"/>
  <c r="AN191" i="6"/>
  <c r="AO191" i="6" s="1"/>
  <c r="AN192" i="6"/>
  <c r="AO192" i="6" s="1"/>
  <c r="AN247" i="6"/>
  <c r="AO247" i="6" s="1"/>
  <c r="AP145" i="6"/>
  <c r="AQ145" i="6" s="1"/>
  <c r="AP138" i="6"/>
  <c r="AQ138" i="6" s="1"/>
  <c r="AP142" i="6"/>
  <c r="AQ142" i="6" s="1"/>
  <c r="AP135" i="6"/>
  <c r="AQ135" i="6" s="1"/>
  <c r="AP146" i="6"/>
  <c r="AQ146" i="6" s="1"/>
  <c r="AP136" i="6"/>
  <c r="AQ136" i="6" s="1"/>
  <c r="AP150" i="6"/>
  <c r="AQ150" i="6" s="1"/>
  <c r="AP159" i="6"/>
  <c r="AQ159" i="6" s="1"/>
  <c r="AP158" i="6"/>
  <c r="AQ158" i="6" s="1"/>
  <c r="AP151" i="6"/>
  <c r="AQ151" i="6" s="1"/>
  <c r="AP144" i="6"/>
  <c r="AQ144" i="6" s="1"/>
  <c r="AP147" i="6"/>
  <c r="AQ147" i="6" s="1"/>
  <c r="AP160" i="6"/>
  <c r="AQ160" i="6" s="1"/>
  <c r="AP157" i="6"/>
  <c r="AQ157" i="6" s="1"/>
  <c r="AP140" i="6"/>
  <c r="AQ140" i="6" s="1"/>
  <c r="AP148" i="6"/>
  <c r="AQ148" i="6" s="1"/>
  <c r="AP141" i="6"/>
  <c r="AQ141" i="6" s="1"/>
  <c r="AP152" i="6"/>
  <c r="AQ152" i="6" s="1"/>
  <c r="AP154" i="6"/>
  <c r="AQ154" i="6" s="1"/>
  <c r="AP149" i="6"/>
  <c r="AQ149" i="6" s="1"/>
  <c r="AP153" i="6"/>
  <c r="AQ153" i="6" s="1"/>
  <c r="AP143" i="6"/>
  <c r="AQ143" i="6" s="1"/>
  <c r="AP155" i="6"/>
  <c r="AQ155" i="6" s="1"/>
  <c r="AP139" i="6"/>
  <c r="AQ139" i="6" s="1"/>
  <c r="AP156" i="6"/>
  <c r="AQ156" i="6" s="1"/>
  <c r="AP137" i="6"/>
  <c r="AQ137" i="6" s="1"/>
  <c r="AN189" i="6"/>
  <c r="AO189" i="6" s="1"/>
  <c r="AN307" i="6"/>
  <c r="AO307" i="6" s="1"/>
  <c r="D57" i="52"/>
  <c r="Y36" i="32" a="1"/>
  <c r="L38" i="32" a="1"/>
  <c r="S17" i="79"/>
  <c r="R8" i="50"/>
  <c r="T6" i="79"/>
  <c r="S22" i="50"/>
  <c r="R10" i="79"/>
  <c r="Q22" i="50"/>
  <c r="Q22" i="79"/>
  <c r="Q16" i="79"/>
  <c r="Q16" i="50"/>
  <c r="R5" i="50"/>
  <c r="U5" i="79"/>
  <c r="U5" i="50"/>
  <c r="V5" i="50"/>
  <c r="V5" i="79"/>
  <c r="R7" i="79"/>
  <c r="C367" i="6"/>
  <c r="D367" i="6"/>
  <c r="E367" i="6"/>
  <c r="AN95" i="6"/>
  <c r="AO95" i="6" s="1"/>
  <c r="AP194" i="6"/>
  <c r="AQ194" i="6" s="1"/>
  <c r="AP210" i="6"/>
  <c r="AQ210" i="6" s="1"/>
  <c r="AP192" i="6"/>
  <c r="AQ192" i="6" s="1"/>
  <c r="AP209" i="6"/>
  <c r="AQ209" i="6" s="1"/>
  <c r="AP191" i="6"/>
  <c r="AQ191" i="6" s="1"/>
  <c r="AP208" i="6"/>
  <c r="AQ208" i="6" s="1"/>
  <c r="AP195" i="6"/>
  <c r="AQ195" i="6" s="1"/>
  <c r="AP211" i="6"/>
  <c r="AQ211" i="6" s="1"/>
  <c r="AP204" i="6"/>
  <c r="AQ204" i="6" s="1"/>
  <c r="AP203" i="6"/>
  <c r="AQ203" i="6" s="1"/>
  <c r="AP214" i="6"/>
  <c r="AQ214" i="6" s="1"/>
  <c r="AP201" i="6"/>
  <c r="AQ201" i="6" s="1"/>
  <c r="AP196" i="6"/>
  <c r="AQ196" i="6" s="1"/>
  <c r="AP207" i="6"/>
  <c r="AQ207" i="6" s="1"/>
  <c r="AP202" i="6"/>
  <c r="AQ202" i="6" s="1"/>
  <c r="AP190" i="6"/>
  <c r="AQ190" i="6" s="1"/>
  <c r="AP213" i="6"/>
  <c r="AQ213" i="6" s="1"/>
  <c r="AP193" i="6"/>
  <c r="AQ193" i="6" s="1"/>
  <c r="AP199" i="6"/>
  <c r="AQ199" i="6" s="1"/>
  <c r="AP198" i="6"/>
  <c r="AQ198" i="6" s="1"/>
  <c r="AP189" i="6"/>
  <c r="AP197" i="6"/>
  <c r="AQ197" i="6" s="1"/>
  <c r="AP206" i="6"/>
  <c r="AQ206" i="6" s="1"/>
  <c r="AP200" i="6"/>
  <c r="AQ200" i="6" s="1"/>
  <c r="AP212" i="6"/>
  <c r="AQ212" i="6" s="1"/>
  <c r="AP205" i="6"/>
  <c r="AQ205" i="6" s="1"/>
  <c r="AN203" i="6"/>
  <c r="AO203" i="6" s="1"/>
  <c r="R33" i="50"/>
  <c r="R36" i="79"/>
  <c r="U31" i="79"/>
  <c r="Q52" i="50"/>
  <c r="Q49" i="79"/>
  <c r="V30" i="50"/>
  <c r="V31" i="79"/>
  <c r="U30" i="50"/>
  <c r="AP134" i="6"/>
  <c r="AR134" i="6" s="1"/>
  <c r="BD246" i="6"/>
  <c r="BE246" i="6" s="1"/>
  <c r="BD254" i="6"/>
  <c r="BE254" i="6" s="1"/>
  <c r="BD253" i="6"/>
  <c r="BE253" i="6" s="1"/>
  <c r="BD274" i="6"/>
  <c r="BE274" i="6" s="1"/>
  <c r="BD266" i="6"/>
  <c r="BE266" i="6" s="1"/>
  <c r="BD251" i="6"/>
  <c r="BE251" i="6" s="1"/>
  <c r="BD248" i="6"/>
  <c r="BE248" i="6" s="1"/>
  <c r="BD249" i="6"/>
  <c r="BE249" i="6" s="1"/>
  <c r="BD281" i="6"/>
  <c r="BE281" i="6" s="1"/>
  <c r="BD270" i="6"/>
  <c r="BE270" i="6" s="1"/>
  <c r="BD258" i="6"/>
  <c r="BE258" i="6" s="1"/>
  <c r="BD268" i="6"/>
  <c r="BE268" i="6" s="1"/>
  <c r="BD245" i="6"/>
  <c r="BE245" i="6" s="1"/>
  <c r="BD273" i="6"/>
  <c r="BE273" i="6" s="1"/>
  <c r="BD269" i="6"/>
  <c r="BE269" i="6" s="1"/>
  <c r="BD252" i="6"/>
  <c r="BE252" i="6" s="1"/>
  <c r="BD262" i="6"/>
  <c r="BE262" i="6" s="1"/>
  <c r="BD250" i="6"/>
  <c r="BE250" i="6" s="1"/>
  <c r="BD247" i="6"/>
  <c r="BE247" i="6" s="1"/>
  <c r="BD242" i="6"/>
  <c r="BE242" i="6" s="1"/>
  <c r="BD272" i="6"/>
  <c r="BE272" i="6" s="1"/>
  <c r="BD257" i="6"/>
  <c r="BE257" i="6" s="1"/>
  <c r="BD277" i="6"/>
  <c r="BE277" i="6" s="1"/>
  <c r="BD241" i="6"/>
  <c r="BE241" i="6" s="1"/>
  <c r="BD255" i="6"/>
  <c r="BE255" i="6" s="1"/>
  <c r="BD243" i="6"/>
  <c r="BE243" i="6" s="1"/>
  <c r="BD271" i="6"/>
  <c r="BE271" i="6" s="1"/>
  <c r="BD279" i="6"/>
  <c r="BE279" i="6" s="1"/>
  <c r="BD261" i="6"/>
  <c r="BE261" i="6" s="1"/>
  <c r="BD244" i="6"/>
  <c r="BE244" i="6" s="1"/>
  <c r="BD260" i="6"/>
  <c r="BE260" i="6" s="1"/>
  <c r="BD264" i="6"/>
  <c r="BE264" i="6" s="1"/>
  <c r="BD259" i="6"/>
  <c r="BE259" i="6" s="1"/>
  <c r="BD276" i="6"/>
  <c r="BE276" i="6" s="1"/>
  <c r="BD275" i="6"/>
  <c r="BE275" i="6" s="1"/>
  <c r="BD280" i="6"/>
  <c r="BE280" i="6" s="1"/>
  <c r="BD265" i="6"/>
  <c r="BE265" i="6" s="1"/>
  <c r="BD256" i="6"/>
  <c r="BE256" i="6" s="1"/>
  <c r="BD263" i="6"/>
  <c r="BE263" i="6" s="1"/>
  <c r="BD267" i="6"/>
  <c r="BE267" i="6" s="1"/>
  <c r="BD278" i="6"/>
  <c r="BE278" i="6" s="1"/>
  <c r="AN303" i="6"/>
  <c r="AO303" i="6" s="1"/>
  <c r="AP301" i="6"/>
  <c r="AQ301" i="6" s="1"/>
  <c r="AP318" i="6"/>
  <c r="AQ318" i="6" s="1"/>
  <c r="AP305" i="6"/>
  <c r="AQ305" i="6" s="1"/>
  <c r="AP307" i="6"/>
  <c r="AQ307" i="6" s="1"/>
  <c r="AP304" i="6"/>
  <c r="AQ304" i="6" s="1"/>
  <c r="AP313" i="6"/>
  <c r="AQ313" i="6" s="1"/>
  <c r="AP312" i="6"/>
  <c r="AQ312" i="6" s="1"/>
  <c r="AP321" i="6"/>
  <c r="AQ321" i="6" s="1"/>
  <c r="AP297" i="6"/>
  <c r="AP311" i="6"/>
  <c r="AQ311" i="6" s="1"/>
  <c r="AP314" i="6"/>
  <c r="AQ314" i="6" s="1"/>
  <c r="AP316" i="6"/>
  <c r="AQ316" i="6" s="1"/>
  <c r="AP315" i="6"/>
  <c r="AQ315" i="6" s="1"/>
  <c r="AP309" i="6"/>
  <c r="AQ309" i="6" s="1"/>
  <c r="AP317" i="6"/>
  <c r="AQ317" i="6" s="1"/>
  <c r="AP310" i="6"/>
  <c r="AQ310" i="6" s="1"/>
  <c r="AP320" i="6"/>
  <c r="AQ320" i="6" s="1"/>
  <c r="AP299" i="6"/>
  <c r="AQ299" i="6" s="1"/>
  <c r="AP300" i="6"/>
  <c r="AQ300" i="6" s="1"/>
  <c r="AP303" i="6"/>
  <c r="AQ303" i="6" s="1"/>
  <c r="AP298" i="6"/>
  <c r="AQ298" i="6" s="1"/>
  <c r="AP302" i="6"/>
  <c r="AQ302" i="6" s="1"/>
  <c r="AP306" i="6"/>
  <c r="AQ306" i="6" s="1"/>
  <c r="AP322" i="6"/>
  <c r="AQ322" i="6" s="1"/>
  <c r="AP308" i="6"/>
  <c r="AQ308" i="6" s="1"/>
  <c r="AP319" i="6"/>
  <c r="AQ319" i="6" s="1"/>
  <c r="AN146" i="6"/>
  <c r="AO146" i="6" s="1"/>
  <c r="S14" i="79"/>
  <c r="Q19" i="50"/>
  <c r="S19" i="50"/>
  <c r="Q19" i="79"/>
  <c r="BF309" i="6"/>
  <c r="BF306" i="6"/>
  <c r="BF308" i="6"/>
  <c r="BF305" i="6"/>
  <c r="BF303" i="6"/>
  <c r="BF296" i="6"/>
  <c r="BF300" i="6"/>
  <c r="BF301" i="6"/>
  <c r="BF304" i="6"/>
  <c r="BF297" i="6"/>
  <c r="BF298" i="6"/>
  <c r="BF310" i="6"/>
  <c r="BF299" i="6"/>
  <c r="BF302" i="6"/>
  <c r="BF295" i="6"/>
  <c r="BF311" i="6"/>
  <c r="BF307" i="6"/>
  <c r="BB258" i="6"/>
  <c r="BB246" i="6"/>
  <c r="BB249" i="6"/>
  <c r="BB254" i="6"/>
  <c r="BB248" i="6"/>
  <c r="BB247" i="6"/>
  <c r="BB256" i="6"/>
  <c r="BB242" i="6"/>
  <c r="BB257" i="6"/>
  <c r="BB243" i="6"/>
  <c r="BB241" i="6"/>
  <c r="BB244" i="6"/>
  <c r="BB255" i="6"/>
  <c r="BB253" i="6"/>
  <c r="BB251" i="6"/>
  <c r="BB252" i="6"/>
  <c r="BB245" i="6"/>
  <c r="BB250" i="6"/>
  <c r="AP86" i="6"/>
  <c r="AQ86" i="6" s="1"/>
  <c r="AP91" i="6"/>
  <c r="AQ91" i="6" s="1"/>
  <c r="AP84" i="6"/>
  <c r="AQ84" i="6" s="1"/>
  <c r="AP103" i="6"/>
  <c r="AQ103" i="6" s="1"/>
  <c r="AP102" i="6"/>
  <c r="AQ102" i="6" s="1"/>
  <c r="AP94" i="6"/>
  <c r="AQ94" i="6" s="1"/>
  <c r="AP92" i="6"/>
  <c r="AQ92" i="6" s="1"/>
  <c r="AP100" i="6"/>
  <c r="AQ100" i="6" s="1"/>
  <c r="AP85" i="6"/>
  <c r="AQ85" i="6" s="1"/>
  <c r="AP93" i="6"/>
  <c r="AQ93" i="6" s="1"/>
  <c r="AP81" i="6"/>
  <c r="AP104" i="6"/>
  <c r="AQ104" i="6" s="1"/>
  <c r="AP82" i="6"/>
  <c r="AQ82" i="6" s="1"/>
  <c r="AP97" i="6"/>
  <c r="AQ97" i="6" s="1"/>
  <c r="AP83" i="6"/>
  <c r="AQ83" i="6" s="1"/>
  <c r="AP106" i="6"/>
  <c r="AQ106" i="6" s="1"/>
  <c r="AP88" i="6"/>
  <c r="AQ88" i="6" s="1"/>
  <c r="AP99" i="6"/>
  <c r="AQ99" i="6" s="1"/>
  <c r="AP87" i="6"/>
  <c r="AQ87" i="6" s="1"/>
  <c r="AP98" i="6"/>
  <c r="AQ98" i="6" s="1"/>
  <c r="AP96" i="6"/>
  <c r="AQ96" i="6" s="1"/>
  <c r="AP95" i="6"/>
  <c r="AQ95" i="6" s="1"/>
  <c r="AP89" i="6"/>
  <c r="AQ89" i="6" s="1"/>
  <c r="AP101" i="6"/>
  <c r="AQ101" i="6" s="1"/>
  <c r="AP90" i="6"/>
  <c r="AQ90" i="6" s="1"/>
  <c r="AP105" i="6"/>
  <c r="AQ105" i="6" s="1"/>
  <c r="AN257" i="6"/>
  <c r="AO257" i="6" s="1"/>
  <c r="AN91" i="6"/>
  <c r="AO91" i="6" s="1"/>
  <c r="C381" i="6"/>
  <c r="E381" i="6"/>
  <c r="D381" i="6"/>
  <c r="S15" i="79"/>
  <c r="S20" i="50"/>
  <c r="Q20" i="79"/>
  <c r="Q20" i="50"/>
  <c r="S4" i="50"/>
  <c r="S4" i="79"/>
  <c r="B39" i="81"/>
  <c r="Q4" i="50"/>
  <c r="AT37" i="32"/>
  <c r="Q4" i="79"/>
  <c r="AK35" i="73"/>
  <c r="AC34" i="73" s="1"/>
  <c r="AK33" i="73"/>
  <c r="AC32" i="73" s="1"/>
  <c r="AN254" i="6"/>
  <c r="AO254" i="6" s="1"/>
  <c r="AN304" i="6"/>
  <c r="AO304" i="6" s="1"/>
  <c r="AN92" i="6"/>
  <c r="AO92" i="6" s="1"/>
  <c r="AP52" i="6"/>
  <c r="AQ52" i="6" s="1"/>
  <c r="AP27" i="6"/>
  <c r="AQ27" i="6" s="1"/>
  <c r="AP30" i="6"/>
  <c r="AQ30" i="6" s="1"/>
  <c r="AP46" i="6"/>
  <c r="AQ46" i="6" s="1"/>
  <c r="AP32" i="6"/>
  <c r="AQ32" i="6" s="1"/>
  <c r="AP38" i="6"/>
  <c r="AQ38" i="6" s="1"/>
  <c r="AP35" i="6"/>
  <c r="AQ35" i="6" s="1"/>
  <c r="AP51" i="6"/>
  <c r="AQ51" i="6" s="1"/>
  <c r="AP31" i="6"/>
  <c r="AQ31" i="6" s="1"/>
  <c r="AP48" i="6"/>
  <c r="AQ48" i="6" s="1"/>
  <c r="AP40" i="6"/>
  <c r="AQ40" i="6" s="1"/>
  <c r="AP37" i="6"/>
  <c r="AQ37" i="6" s="1"/>
  <c r="AP36" i="6"/>
  <c r="AQ36" i="6" s="1"/>
  <c r="AP42" i="6"/>
  <c r="AQ42" i="6" s="1"/>
  <c r="AP47" i="6"/>
  <c r="AQ47" i="6" s="1"/>
  <c r="AP41" i="6"/>
  <c r="AQ41" i="6" s="1"/>
  <c r="AP39" i="6"/>
  <c r="AQ39" i="6" s="1"/>
  <c r="AP33" i="6"/>
  <c r="AQ33" i="6" s="1"/>
  <c r="AP29" i="6"/>
  <c r="AQ29" i="6" s="1"/>
  <c r="AP45" i="6"/>
  <c r="AQ45" i="6" s="1"/>
  <c r="AP49" i="6"/>
  <c r="AQ49" i="6" s="1"/>
  <c r="AP50" i="6"/>
  <c r="AQ50" i="6" s="1"/>
  <c r="AP43" i="6"/>
  <c r="AQ43" i="6" s="1"/>
  <c r="AP44" i="6"/>
  <c r="AQ44" i="6" s="1"/>
  <c r="AP28" i="6"/>
  <c r="AQ28" i="6" s="1"/>
  <c r="AP34" i="6"/>
  <c r="AQ34" i="6" s="1"/>
  <c r="AN142" i="6"/>
  <c r="AO142" i="6" s="1"/>
  <c r="AN306" i="6"/>
  <c r="AO306" i="6" s="1"/>
  <c r="AY277" i="6"/>
  <c r="C414" i="6"/>
  <c r="AP239" i="6"/>
  <c r="AR239" i="6" s="1"/>
  <c r="AS239" i="6" s="1"/>
  <c r="AP131" i="6"/>
  <c r="AR131" i="6" s="1"/>
  <c r="AS131" i="6" s="1"/>
  <c r="AP23" i="6"/>
  <c r="AR23" i="6" s="1"/>
  <c r="AS23" i="6" s="1"/>
  <c r="AP293" i="6"/>
  <c r="AR293" i="6" s="1"/>
  <c r="AS293" i="6" s="1"/>
  <c r="AC323" i="6" s="1"/>
  <c r="AP185" i="6"/>
  <c r="AR185" i="6" s="1"/>
  <c r="AS185" i="6" s="1"/>
  <c r="AN148" i="6"/>
  <c r="AO148" i="6" s="1"/>
  <c r="AP260" i="6"/>
  <c r="AQ260" i="6" s="1"/>
  <c r="AP243" i="6"/>
  <c r="AQ243" i="6" s="1"/>
  <c r="AP251" i="6"/>
  <c r="AQ251" i="6" s="1"/>
  <c r="AP259" i="6"/>
  <c r="AQ259" i="6" s="1"/>
  <c r="AP253" i="6"/>
  <c r="AQ253" i="6" s="1"/>
  <c r="AP267" i="6"/>
  <c r="AQ267" i="6" s="1"/>
  <c r="AP247" i="6"/>
  <c r="AQ247" i="6" s="1"/>
  <c r="AP268" i="6"/>
  <c r="AQ268" i="6" s="1"/>
  <c r="AP262" i="6"/>
  <c r="AQ262" i="6" s="1"/>
  <c r="AP248" i="6"/>
  <c r="AQ248" i="6" s="1"/>
  <c r="AP252" i="6"/>
  <c r="AQ252" i="6" s="1"/>
  <c r="AP266" i="6"/>
  <c r="AQ266" i="6" s="1"/>
  <c r="AP254" i="6"/>
  <c r="AQ254" i="6" s="1"/>
  <c r="AP249" i="6"/>
  <c r="AQ249" i="6" s="1"/>
  <c r="AP258" i="6"/>
  <c r="AQ258" i="6" s="1"/>
  <c r="AP256" i="6"/>
  <c r="AQ256" i="6" s="1"/>
  <c r="AP264" i="6"/>
  <c r="AQ264" i="6" s="1"/>
  <c r="AP265" i="6"/>
  <c r="AQ265" i="6" s="1"/>
  <c r="AP245" i="6"/>
  <c r="AQ245" i="6" s="1"/>
  <c r="AP250" i="6"/>
  <c r="AQ250" i="6" s="1"/>
  <c r="AP257" i="6"/>
  <c r="AQ257" i="6" s="1"/>
  <c r="AP255" i="6"/>
  <c r="AQ255" i="6" s="1"/>
  <c r="AP263" i="6"/>
  <c r="AQ263" i="6" s="1"/>
  <c r="AP244" i="6"/>
  <c r="AQ244" i="6" s="1"/>
  <c r="AP246" i="6"/>
  <c r="AQ246" i="6" s="1"/>
  <c r="AP261" i="6"/>
  <c r="AQ261" i="6" s="1"/>
  <c r="AR169" i="6"/>
  <c r="AX169" i="6" s="1"/>
  <c r="AN169" i="6"/>
  <c r="AU169" i="6" s="1"/>
  <c r="AI136" i="6"/>
  <c r="AM136" i="6" s="1"/>
  <c r="AN136" i="6" s="1"/>
  <c r="AO136" i="6" s="1"/>
  <c r="AN168" i="6"/>
  <c r="AU168" i="6" s="1"/>
  <c r="AY168" i="6" s="1"/>
  <c r="AP168" i="6"/>
  <c r="AW168" i="6" s="1"/>
  <c r="AI151" i="6"/>
  <c r="AI154" i="6"/>
  <c r="AI146" i="6"/>
  <c r="AI139" i="6"/>
  <c r="AM139" i="6" s="1"/>
  <c r="AN139" i="6" s="1"/>
  <c r="AO139" i="6" s="1"/>
  <c r="AP169" i="6"/>
  <c r="AW169" i="6" s="1"/>
  <c r="AI150" i="6"/>
  <c r="AI147" i="6"/>
  <c r="AI141" i="6"/>
  <c r="AR167" i="6"/>
  <c r="AX167" i="6" s="1"/>
  <c r="AN167" i="6"/>
  <c r="AU167" i="6" s="1"/>
  <c r="AI135" i="6"/>
  <c r="AM135" i="6" s="1"/>
  <c r="AN135" i="6" s="1"/>
  <c r="AO135" i="6" s="1"/>
  <c r="AI149" i="6"/>
  <c r="AR170" i="6"/>
  <c r="AX170" i="6" s="1"/>
  <c r="AI138" i="6"/>
  <c r="AM138" i="6" s="1"/>
  <c r="AN138" i="6" s="1"/>
  <c r="AO138" i="6" s="1"/>
  <c r="AI142" i="6"/>
  <c r="BF133" i="6" a="1"/>
  <c r="BB133" i="6" a="1"/>
  <c r="BC133" i="6" a="1"/>
  <c r="AI145" i="6"/>
  <c r="BG133" i="6" a="1"/>
  <c r="AI152" i="6"/>
  <c r="AI144" i="6"/>
  <c r="AI148" i="6"/>
  <c r="AI153" i="6"/>
  <c r="AI155" i="6"/>
  <c r="AI140" i="6"/>
  <c r="AM140" i="6" s="1"/>
  <c r="AN140" i="6" s="1"/>
  <c r="AO140" i="6" s="1"/>
  <c r="AI137" i="6"/>
  <c r="AM137" i="6" s="1"/>
  <c r="AN137" i="6" s="1"/>
  <c r="AO137" i="6" s="1"/>
  <c r="AP167" i="6"/>
  <c r="AW167" i="6" s="1"/>
  <c r="AY167" i="6" s="1"/>
  <c r="AN170" i="6"/>
  <c r="AU170" i="6" s="1"/>
  <c r="AY170" i="6" s="1"/>
  <c r="AP170" i="6"/>
  <c r="AW170" i="6" s="1"/>
  <c r="AR168" i="6"/>
  <c r="AX168" i="6" s="1"/>
  <c r="AL161" i="6"/>
  <c r="AS161" i="6" s="1"/>
  <c r="AY161" i="6" s="1"/>
  <c r="BD133" i="6" a="1"/>
  <c r="AI143" i="6"/>
  <c r="AN145" i="6"/>
  <c r="AO145" i="6" s="1"/>
  <c r="AN93" i="6"/>
  <c r="AO93" i="6" s="1"/>
  <c r="V21" i="79"/>
  <c r="V21" i="50"/>
  <c r="R26" i="79"/>
  <c r="U21" i="79"/>
  <c r="Q39" i="79"/>
  <c r="R24" i="50"/>
  <c r="U21" i="50"/>
  <c r="Q42" i="50"/>
  <c r="AY223" i="6"/>
  <c r="AN87" i="6"/>
  <c r="AO87" i="6" s="1"/>
  <c r="AN190" i="6"/>
  <c r="AO190" i="6" s="1"/>
  <c r="AN250" i="6"/>
  <c r="AO250" i="6" s="1"/>
  <c r="Q37" i="79"/>
  <c r="U19" i="50"/>
  <c r="Q40" i="50"/>
  <c r="R22" i="50"/>
  <c r="V19" i="79"/>
  <c r="V19" i="50"/>
  <c r="R24" i="79"/>
  <c r="U19" i="79"/>
  <c r="AN40" i="6"/>
  <c r="AO40" i="6" s="1"/>
  <c r="AN195" i="6"/>
  <c r="AO195" i="6" s="1"/>
  <c r="AN194" i="6"/>
  <c r="AO194" i="6" s="1"/>
  <c r="AN89" i="6"/>
  <c r="AO89" i="6" s="1"/>
  <c r="S19" i="79"/>
  <c r="S23" i="50"/>
  <c r="Q23" i="50"/>
  <c r="R11" i="79"/>
  <c r="R9" i="50"/>
  <c r="Q24" i="79"/>
  <c r="T7" i="79"/>
  <c r="AT29" i="6"/>
  <c r="AU29" i="6"/>
  <c r="BB309" i="6"/>
  <c r="BB297" i="6"/>
  <c r="BB311" i="6"/>
  <c r="BB308" i="6"/>
  <c r="BB307" i="6"/>
  <c r="BB298" i="6"/>
  <c r="BB295" i="6"/>
  <c r="BB302" i="6"/>
  <c r="BB310" i="6"/>
  <c r="BB303" i="6"/>
  <c r="BB299" i="6"/>
  <c r="BB304" i="6"/>
  <c r="BB301" i="6"/>
  <c r="BB306" i="6"/>
  <c r="BB300" i="6"/>
  <c r="BB305" i="6"/>
  <c r="BB312" i="6"/>
  <c r="BB296" i="6"/>
  <c r="D356" i="6"/>
  <c r="E356" i="6"/>
  <c r="C356" i="6"/>
  <c r="AJ131" i="6"/>
  <c r="AM131" i="6" s="1"/>
  <c r="AL239" i="6"/>
  <c r="AN239" i="6" s="1"/>
  <c r="AL185" i="6"/>
  <c r="AN185" i="6" s="1"/>
  <c r="AL77" i="6"/>
  <c r="AN77" i="6" s="1"/>
  <c r="AC107" i="6" s="1"/>
  <c r="AG23" i="6"/>
  <c r="AH23" i="6" s="1"/>
  <c r="AI23" i="6" s="1"/>
  <c r="AL23" i="6"/>
  <c r="AN23" i="6" s="1"/>
  <c r="AG131" i="6"/>
  <c r="AH131" i="6" s="1"/>
  <c r="AI131" i="6" s="1"/>
  <c r="AG185" i="6"/>
  <c r="AH185" i="6" s="1"/>
  <c r="AI185" i="6" s="1"/>
  <c r="AJ239" i="6"/>
  <c r="AM239" i="6" s="1"/>
  <c r="AJ185" i="6"/>
  <c r="AM185" i="6" s="1"/>
  <c r="AL131" i="6"/>
  <c r="AN131" i="6" s="1"/>
  <c r="AG239" i="6"/>
  <c r="AH239" i="6" s="1"/>
  <c r="AI239" i="6" s="1"/>
  <c r="AN309" i="6"/>
  <c r="AO309" i="6" s="1"/>
  <c r="AN88" i="6"/>
  <c r="AO88" i="6" s="1"/>
  <c r="AN94" i="6"/>
  <c r="AO94" i="6" s="1"/>
  <c r="AN253" i="6"/>
  <c r="AO253" i="6" s="1"/>
  <c r="AN196" i="6"/>
  <c r="AO196" i="6" s="1"/>
  <c r="R1" i="59" l="1"/>
  <c r="S1" i="59" s="1"/>
  <c r="P1" i="59" s="1" a="1"/>
  <c r="P1" i="59" s="1"/>
  <c r="R1" i="61"/>
  <c r="S1" i="61" s="1"/>
  <c r="P1" i="61" s="1" a="1"/>
  <c r="P1" i="61" s="1"/>
  <c r="R1" i="63"/>
  <c r="S1" i="63" s="1"/>
  <c r="P1" i="63" s="1" a="1"/>
  <c r="P1" i="63" s="1"/>
  <c r="K54" i="95" a="1"/>
  <c r="AV19" i="93"/>
  <c r="B18" i="93"/>
  <c r="K54" i="94" a="1"/>
  <c r="AV19" i="95"/>
  <c r="B18" i="95"/>
  <c r="B18" i="94"/>
  <c r="AV19" i="94"/>
  <c r="V1" i="57"/>
  <c r="G43" i="52"/>
  <c r="G19" i="52"/>
  <c r="AV19" i="92"/>
  <c r="B18" i="92"/>
  <c r="R1" i="57"/>
  <c r="S1" i="57" s="1"/>
  <c r="P1" i="57" s="1" a="1"/>
  <c r="P1" i="57" s="1"/>
  <c r="G29" i="52"/>
  <c r="R1" i="55"/>
  <c r="S1" i="55" s="1"/>
  <c r="P1" i="55" s="1" a="1"/>
  <c r="P1" i="55" s="1"/>
  <c r="G6" i="52"/>
  <c r="G28" i="52"/>
  <c r="G53" i="52"/>
  <c r="K54" i="32" a="1"/>
  <c r="K55" i="32" s="1"/>
  <c r="G41" i="52"/>
  <c r="C33" i="81"/>
  <c r="G14" i="52"/>
  <c r="J16" i="91"/>
  <c r="B16" i="32"/>
  <c r="B19" i="91"/>
  <c r="T56" i="91"/>
  <c r="K54" i="91" a="1"/>
  <c r="K56" i="91" s="1"/>
  <c r="K60" i="91" s="1"/>
  <c r="AV19" i="91"/>
  <c r="B18" i="91"/>
  <c r="C29" i="81"/>
  <c r="B19" i="32"/>
  <c r="C31" i="81"/>
  <c r="G38" i="52"/>
  <c r="G40" i="52"/>
  <c r="W3" i="96"/>
  <c r="U9" i="96" s="1"/>
  <c r="B18" i="32"/>
  <c r="S27" i="81"/>
  <c r="AV19" i="32"/>
  <c r="X56" i="32"/>
  <c r="AU9" i="92"/>
  <c r="X55" i="32"/>
  <c r="H36" i="32" a="1"/>
  <c r="H39" i="32" s="1"/>
  <c r="V1" i="50"/>
  <c r="AC25" i="99" s="1"/>
  <c r="T54" i="32" a="1"/>
  <c r="T54" i="32" s="1"/>
  <c r="AU9" i="94"/>
  <c r="AC159" i="99" s="1"/>
  <c r="B37" i="81"/>
  <c r="AU9" i="32"/>
  <c r="AC15" i="99" s="1"/>
  <c r="G16" i="52"/>
  <c r="W95" i="99"/>
  <c r="G54" i="52"/>
  <c r="AG59" i="99"/>
  <c r="AT9" i="32"/>
  <c r="AY3" i="32" s="1"/>
  <c r="B11" i="81"/>
  <c r="D11" i="81" s="1"/>
  <c r="G8" i="52"/>
  <c r="AU9" i="91"/>
  <c r="AC51" i="99" s="1"/>
  <c r="W23" i="99"/>
  <c r="G44" i="52"/>
  <c r="AG131" i="99"/>
  <c r="W131" i="99"/>
  <c r="G2" i="52"/>
  <c r="B20" i="32"/>
  <c r="W167" i="99"/>
  <c r="K34" i="81"/>
  <c r="J20" i="32"/>
  <c r="W59" i="99"/>
  <c r="C34" i="81"/>
  <c r="W203" i="99"/>
  <c r="AG95" i="99"/>
  <c r="AG203" i="99"/>
  <c r="BA2" i="93"/>
  <c r="AG23" i="99"/>
  <c r="G61" i="52"/>
  <c r="AG167" i="99"/>
  <c r="J20" i="94"/>
  <c r="G18" i="52"/>
  <c r="BA2" i="95"/>
  <c r="G11" i="52"/>
  <c r="AU9" i="95"/>
  <c r="AC195" i="99" s="1"/>
  <c r="BA2" i="91"/>
  <c r="J20" i="92"/>
  <c r="J20" i="95"/>
  <c r="J20" i="91"/>
  <c r="G30" i="52"/>
  <c r="AT9" i="93"/>
  <c r="AY3" i="93" s="1"/>
  <c r="AT9" i="95"/>
  <c r="AY3" i="95" s="1"/>
  <c r="AU19" i="91"/>
  <c r="N18" i="81"/>
  <c r="AU17" i="32"/>
  <c r="AQ7" i="32" s="1"/>
  <c r="AU10" i="32"/>
  <c r="S10" i="32" s="1"/>
  <c r="AT9" i="91"/>
  <c r="AY3" i="91" s="1"/>
  <c r="B20" i="93"/>
  <c r="G45" i="52"/>
  <c r="G33" i="52"/>
  <c r="AU25" i="92"/>
  <c r="AU23" i="92"/>
  <c r="AU24" i="92" s="1"/>
  <c r="AU17" i="92"/>
  <c r="K58" i="92"/>
  <c r="K56" i="92"/>
  <c r="K60" i="92" s="1"/>
  <c r="K57" i="92"/>
  <c r="K55" i="92"/>
  <c r="K54" i="92"/>
  <c r="P54" i="95" a="1"/>
  <c r="AD54" i="93" a="1"/>
  <c r="B9" i="92"/>
  <c r="AU7" i="92"/>
  <c r="AB4" i="92"/>
  <c r="BA2" i="92"/>
  <c r="AT9" i="94"/>
  <c r="AY3" i="94" s="1"/>
  <c r="AU2" i="92"/>
  <c r="AU2" i="94"/>
  <c r="G7" i="94" s="1"/>
  <c r="AU19" i="95"/>
  <c r="AU25" i="91"/>
  <c r="AU23" i="91"/>
  <c r="AU24" i="91" s="1"/>
  <c r="AU17" i="91"/>
  <c r="K58" i="94"/>
  <c r="K54" i="94"/>
  <c r="K55" i="94"/>
  <c r="K56" i="94"/>
  <c r="K60" i="94" s="1"/>
  <c r="K57" i="94"/>
  <c r="AU9" i="93"/>
  <c r="AC123" i="99" s="1"/>
  <c r="B36" i="91" a="1"/>
  <c r="B36" i="92" a="1"/>
  <c r="B36" i="95" a="1"/>
  <c r="B36" i="94" a="1"/>
  <c r="B36" i="93" a="1"/>
  <c r="AU17" i="94"/>
  <c r="AU25" i="94"/>
  <c r="AU23" i="94"/>
  <c r="AU24" i="94" s="1"/>
  <c r="L38" i="91" a="1"/>
  <c r="B16" i="91"/>
  <c r="Y36" i="91" a="1"/>
  <c r="H54" i="91" a="1"/>
  <c r="B20" i="91"/>
  <c r="B20" i="94"/>
  <c r="AU2" i="95"/>
  <c r="G7" i="95" s="1"/>
  <c r="AU23" i="32"/>
  <c r="AU24" i="32" s="1"/>
  <c r="G58" i="52"/>
  <c r="P54" i="93" a="1"/>
  <c r="AU10" i="95"/>
  <c r="AC192" i="99" s="1"/>
  <c r="H36" i="95"/>
  <c r="B9" i="94"/>
  <c r="AU7" i="94"/>
  <c r="AB4" i="94"/>
  <c r="H54" i="92" a="1"/>
  <c r="L38" i="92" a="1"/>
  <c r="B16" i="92"/>
  <c r="Y36" i="92" a="1"/>
  <c r="B20" i="95"/>
  <c r="AU19" i="93"/>
  <c r="K58" i="95"/>
  <c r="K57" i="95"/>
  <c r="K54" i="95"/>
  <c r="K55" i="95"/>
  <c r="K56" i="95"/>
  <c r="K60" i="95" s="1"/>
  <c r="S18" i="81"/>
  <c r="B19" i="81" s="1"/>
  <c r="G23" i="52"/>
  <c r="G26" i="52"/>
  <c r="AU17" i="95"/>
  <c r="AU25" i="95"/>
  <c r="AU23" i="95"/>
  <c r="AU24" i="95" s="1"/>
  <c r="P54" i="91" a="1"/>
  <c r="AU10" i="91"/>
  <c r="AC48" i="99" s="1"/>
  <c r="H36" i="91"/>
  <c r="B9" i="95"/>
  <c r="AU7" i="95"/>
  <c r="AB4" i="95"/>
  <c r="T54" i="91"/>
  <c r="AV40" i="91" a="1"/>
  <c r="L36" i="91" a="1"/>
  <c r="AU10" i="92"/>
  <c r="AC84" i="99" s="1"/>
  <c r="H36" i="92"/>
  <c r="L38" i="95" a="1"/>
  <c r="Y36" i="95" a="1"/>
  <c r="B16" i="95"/>
  <c r="AC97" i="99"/>
  <c r="T54" i="92"/>
  <c r="T59" i="92" s="1"/>
  <c r="J20" i="93"/>
  <c r="B20" i="92"/>
  <c r="AV40" i="92" a="1"/>
  <c r="L36" i="92" a="1"/>
  <c r="AD54" i="94" a="1"/>
  <c r="AU25" i="32"/>
  <c r="P54" i="92" a="1"/>
  <c r="BA2" i="94"/>
  <c r="AC133" i="99"/>
  <c r="T54" i="93"/>
  <c r="T59" i="93" s="1"/>
  <c r="AV40" i="93" a="1"/>
  <c r="L36" i="93" a="1"/>
  <c r="AU25" i="93"/>
  <c r="AU17" i="93"/>
  <c r="AU23" i="93"/>
  <c r="AU24" i="93" s="1"/>
  <c r="AD54" i="95" a="1"/>
  <c r="AT9" i="92"/>
  <c r="AY3" i="92" s="1"/>
  <c r="AC169" i="99"/>
  <c r="T54" i="94"/>
  <c r="T59" i="94" s="1"/>
  <c r="L36" i="94" a="1"/>
  <c r="AV40" i="94" a="1"/>
  <c r="AU19" i="92"/>
  <c r="AU2" i="91"/>
  <c r="K58" i="93"/>
  <c r="K54" i="93"/>
  <c r="K56" i="93"/>
  <c r="K60" i="93" s="1"/>
  <c r="K55" i="93"/>
  <c r="K57" i="93"/>
  <c r="G17" i="52"/>
  <c r="G35" i="52"/>
  <c r="AV40" i="32" a="1"/>
  <c r="AW40" i="32" s="1"/>
  <c r="G9" i="52"/>
  <c r="AU10" i="93"/>
  <c r="AC120" i="99" s="1"/>
  <c r="H36" i="93"/>
  <c r="AU7" i="91"/>
  <c r="AB4" i="91"/>
  <c r="B9" i="91"/>
  <c r="T54" i="95"/>
  <c r="T59" i="95" s="1"/>
  <c r="AC205" i="99"/>
  <c r="L36" i="95" a="1"/>
  <c r="AV40" i="95" a="1"/>
  <c r="AU19" i="94"/>
  <c r="B9" i="93"/>
  <c r="AU7" i="93"/>
  <c r="AB4" i="93"/>
  <c r="L38" i="93" a="1"/>
  <c r="B16" i="93"/>
  <c r="Y36" i="93" a="1"/>
  <c r="H54" i="93" a="1"/>
  <c r="AU2" i="93"/>
  <c r="G7" i="93" s="1"/>
  <c r="I18" i="81"/>
  <c r="P54" i="94" a="1"/>
  <c r="AU10" i="94"/>
  <c r="AC156" i="99" s="1"/>
  <c r="H36" i="94"/>
  <c r="H54" i="94" a="1"/>
  <c r="L38" i="94" a="1"/>
  <c r="B16" i="94"/>
  <c r="Y36" i="94" a="1"/>
  <c r="D45" i="52"/>
  <c r="G7" i="52"/>
  <c r="G42" i="52"/>
  <c r="L36" i="32" a="1"/>
  <c r="L36" i="32" s="1"/>
  <c r="G37" i="52"/>
  <c r="G32" i="52"/>
  <c r="F14" i="81"/>
  <c r="G64" i="52"/>
  <c r="AU2" i="32"/>
  <c r="P54" i="32" a="1"/>
  <c r="P55" i="32" s="1"/>
  <c r="G20" i="52"/>
  <c r="BA2" i="32"/>
  <c r="G24" i="52"/>
  <c r="G63" i="52"/>
  <c r="I40" i="73"/>
  <c r="I41" i="73" s="1"/>
  <c r="S25" i="81"/>
  <c r="G49" i="52"/>
  <c r="G39" i="52"/>
  <c r="G15" i="52"/>
  <c r="G27" i="52"/>
  <c r="G22" i="52"/>
  <c r="M40" i="73"/>
  <c r="M42" i="73" s="1"/>
  <c r="G3" i="52"/>
  <c r="E40" i="73"/>
  <c r="E41" i="73" s="1"/>
  <c r="G31" i="52"/>
  <c r="G12" i="52"/>
  <c r="G56" i="52"/>
  <c r="R1" i="79"/>
  <c r="S1" i="79" s="1"/>
  <c r="P1" i="79" s="1" a="1"/>
  <c r="P1" i="79" s="1"/>
  <c r="G10" i="52"/>
  <c r="G62" i="52"/>
  <c r="AU7" i="32"/>
  <c r="S18" i="32" s="1"/>
  <c r="G46" i="52"/>
  <c r="G50" i="52"/>
  <c r="G13" i="52"/>
  <c r="C17" i="81"/>
  <c r="S15" i="81"/>
  <c r="T15" i="81" s="1"/>
  <c r="G5" i="52"/>
  <c r="S31" i="81"/>
  <c r="S32" i="81" s="1"/>
  <c r="G52" i="52"/>
  <c r="E39" i="73"/>
  <c r="G39" i="73" s="1"/>
  <c r="B36" i="32" a="1"/>
  <c r="B76" i="32" s="1"/>
  <c r="AB4" i="32"/>
  <c r="S33" i="81"/>
  <c r="G4" i="52"/>
  <c r="G51" i="52"/>
  <c r="G25" i="52"/>
  <c r="G36" i="52"/>
  <c r="B9" i="32"/>
  <c r="S17" i="81"/>
  <c r="G55" i="52"/>
  <c r="G48" i="52"/>
  <c r="R1" i="50"/>
  <c r="M39" i="73"/>
  <c r="O39" i="73" s="1"/>
  <c r="I39" i="73"/>
  <c r="K39" i="73" s="1"/>
  <c r="G34" i="52"/>
  <c r="G21" i="52"/>
  <c r="G47" i="52"/>
  <c r="BF146" i="6"/>
  <c r="BF142" i="6"/>
  <c r="BF143" i="6"/>
  <c r="BF140" i="6"/>
  <c r="BF136" i="6"/>
  <c r="BF148" i="6"/>
  <c r="BF137" i="6"/>
  <c r="BF135" i="6"/>
  <c r="BF133" i="6"/>
  <c r="BF145" i="6"/>
  <c r="BF141" i="6"/>
  <c r="BF134" i="6"/>
  <c r="BF138" i="6"/>
  <c r="BF139" i="6"/>
  <c r="BF149" i="6"/>
  <c r="BF144" i="6"/>
  <c r="BF147" i="6"/>
  <c r="AQ297" i="6"/>
  <c r="AP296" i="6"/>
  <c r="AR296" i="6" s="1"/>
  <c r="L42" i="32"/>
  <c r="L40" i="32"/>
  <c r="L39" i="32"/>
  <c r="L38" i="32"/>
  <c r="M38" i="32" s="1"/>
  <c r="L41" i="32"/>
  <c r="AP80" i="6"/>
  <c r="AR80" i="6" s="1"/>
  <c r="AQ81" i="6"/>
  <c r="AS140" i="6"/>
  <c r="AT140" i="6" s="1"/>
  <c r="AG133" i="6"/>
  <c r="AS139" i="6"/>
  <c r="AT139" i="6" s="1"/>
  <c r="AS138" i="6"/>
  <c r="AT138" i="6" s="1"/>
  <c r="AS135" i="6"/>
  <c r="AS137" i="6"/>
  <c r="AS136" i="6"/>
  <c r="AC53" i="6"/>
  <c r="AP242" i="6"/>
  <c r="AR242" i="6" s="1"/>
  <c r="AQ189" i="6"/>
  <c r="AP188" i="6"/>
  <c r="AR188" i="6" s="1"/>
  <c r="BD153" i="6"/>
  <c r="BE153" i="6" s="1"/>
  <c r="BD137" i="6"/>
  <c r="BE137" i="6" s="1"/>
  <c r="BD145" i="6"/>
  <c r="BE145" i="6" s="1"/>
  <c r="BD141" i="6"/>
  <c r="BE141" i="6" s="1"/>
  <c r="BD168" i="6"/>
  <c r="BE168" i="6" s="1"/>
  <c r="BD171" i="6"/>
  <c r="BE171" i="6" s="1"/>
  <c r="BD165" i="6"/>
  <c r="BE165" i="6" s="1"/>
  <c r="BD172" i="6"/>
  <c r="BE172" i="6" s="1"/>
  <c r="BD147" i="6"/>
  <c r="BE147" i="6" s="1"/>
  <c r="BD146" i="6"/>
  <c r="BE146" i="6" s="1"/>
  <c r="BD143" i="6"/>
  <c r="BE143" i="6" s="1"/>
  <c r="BD138" i="6"/>
  <c r="BE138" i="6" s="1"/>
  <c r="BD150" i="6"/>
  <c r="BE150" i="6" s="1"/>
  <c r="BD142" i="6"/>
  <c r="BE142" i="6" s="1"/>
  <c r="BD140" i="6"/>
  <c r="BE140" i="6" s="1"/>
  <c r="BD159" i="6"/>
  <c r="BE159" i="6" s="1"/>
  <c r="BD152" i="6"/>
  <c r="BE152" i="6" s="1"/>
  <c r="BD164" i="6"/>
  <c r="BE164" i="6" s="1"/>
  <c r="BD154" i="6"/>
  <c r="BE154" i="6" s="1"/>
  <c r="BD166" i="6"/>
  <c r="BE166" i="6" s="1"/>
  <c r="BD162" i="6"/>
  <c r="BE162" i="6" s="1"/>
  <c r="BD148" i="6"/>
  <c r="BE148" i="6" s="1"/>
  <c r="BD161" i="6"/>
  <c r="BE161" i="6" s="1"/>
  <c r="BD155" i="6"/>
  <c r="BE155" i="6" s="1"/>
  <c r="BD173" i="6"/>
  <c r="BE173" i="6" s="1"/>
  <c r="BD136" i="6"/>
  <c r="BE136" i="6" s="1"/>
  <c r="BD139" i="6"/>
  <c r="BE139" i="6" s="1"/>
  <c r="BD144" i="6"/>
  <c r="BE144" i="6" s="1"/>
  <c r="BD133" i="6"/>
  <c r="BE133" i="6" s="1"/>
  <c r="BD167" i="6"/>
  <c r="BE167" i="6" s="1"/>
  <c r="BD158" i="6"/>
  <c r="BE158" i="6" s="1"/>
  <c r="BD134" i="6"/>
  <c r="BE134" i="6" s="1"/>
  <c r="BD157" i="6"/>
  <c r="BE157" i="6" s="1"/>
  <c r="BD156" i="6"/>
  <c r="BE156" i="6" s="1"/>
  <c r="BD170" i="6"/>
  <c r="BE170" i="6" s="1"/>
  <c r="BD160" i="6"/>
  <c r="BE160" i="6" s="1"/>
  <c r="BD151" i="6"/>
  <c r="BE151" i="6" s="1"/>
  <c r="BD163" i="6"/>
  <c r="BE163" i="6" s="1"/>
  <c r="BD149" i="6"/>
  <c r="BE149" i="6" s="1"/>
  <c r="BD169" i="6"/>
  <c r="BE169" i="6" s="1"/>
  <c r="BD135" i="6"/>
  <c r="BE135" i="6" s="1"/>
  <c r="AY169" i="6"/>
  <c r="BG148" i="6"/>
  <c r="BG137" i="6"/>
  <c r="BG146" i="6"/>
  <c r="BG136" i="6"/>
  <c r="BG133" i="6"/>
  <c r="BG142" i="6"/>
  <c r="BG143" i="6"/>
  <c r="BG140" i="6"/>
  <c r="BG147" i="6"/>
  <c r="BG145" i="6"/>
  <c r="BG141" i="6"/>
  <c r="BG138" i="6"/>
  <c r="BG134" i="6"/>
  <c r="BG139" i="6"/>
  <c r="BG149" i="6"/>
  <c r="BG144" i="6"/>
  <c r="BG135" i="6"/>
  <c r="Y39" i="32"/>
  <c r="Y36" i="32"/>
  <c r="Y37" i="32"/>
  <c r="Y38" i="32"/>
  <c r="BC137" i="6"/>
  <c r="BC145" i="6"/>
  <c r="BC143" i="6"/>
  <c r="BC144" i="6"/>
  <c r="BC134" i="6"/>
  <c r="BC133" i="6"/>
  <c r="BC136" i="6"/>
  <c r="BC146" i="6"/>
  <c r="BC138" i="6"/>
  <c r="BC142" i="6"/>
  <c r="BC139" i="6"/>
  <c r="BC150" i="6"/>
  <c r="BC149" i="6"/>
  <c r="BC140" i="6"/>
  <c r="BC148" i="6"/>
  <c r="BC147" i="6"/>
  <c r="BC141" i="6"/>
  <c r="BC135" i="6"/>
  <c r="BB138" i="6"/>
  <c r="BB140" i="6"/>
  <c r="BB139" i="6"/>
  <c r="BB148" i="6"/>
  <c r="BB150" i="6"/>
  <c r="BB135" i="6"/>
  <c r="BB142" i="6"/>
  <c r="BB137" i="6"/>
  <c r="BB133" i="6"/>
  <c r="BB147" i="6"/>
  <c r="BB144" i="6"/>
  <c r="BB145" i="6"/>
  <c r="BB149" i="6"/>
  <c r="BB146" i="6"/>
  <c r="BB141" i="6"/>
  <c r="BB134" i="6"/>
  <c r="BB136" i="6"/>
  <c r="BB143" i="6"/>
  <c r="AX14" i="92" a="1"/>
  <c r="AX14" i="91" a="1"/>
  <c r="AD54" i="91" a="1"/>
  <c r="M54" i="73" a="1"/>
  <c r="E54" i="73" a="1"/>
  <c r="I54" i="73" a="1"/>
  <c r="AB17" i="61" l="1"/>
  <c r="DN4" i="61"/>
  <c r="DN3" i="61"/>
  <c r="AB17" i="63"/>
  <c r="DN4" i="63"/>
  <c r="DN3" i="63"/>
  <c r="AB17" i="59"/>
  <c r="DN3" i="59"/>
  <c r="DN4" i="59"/>
  <c r="AB17" i="57"/>
  <c r="DN4" i="57"/>
  <c r="DN3" i="57"/>
  <c r="AX14" i="92"/>
  <c r="K56" i="32"/>
  <c r="K60" i="32" s="1"/>
  <c r="AB17" i="55"/>
  <c r="DN4" i="55"/>
  <c r="DN3" i="55"/>
  <c r="K58" i="91"/>
  <c r="Z7" i="96" a="1"/>
  <c r="Z16" i="96" s="1"/>
  <c r="T59" i="91"/>
  <c r="K58" i="32"/>
  <c r="K54" i="32"/>
  <c r="K57" i="32"/>
  <c r="K54" i="91"/>
  <c r="K55" i="91"/>
  <c r="H36" i="32"/>
  <c r="S1" i="50"/>
  <c r="AT35" i="32"/>
  <c r="K57" i="91"/>
  <c r="AC87" i="99"/>
  <c r="AX14" i="94" a="1"/>
  <c r="AX14" i="94" s="1"/>
  <c r="T36" i="94" a="1"/>
  <c r="T36" i="94" s="1"/>
  <c r="U10" i="96"/>
  <c r="V19" i="96" s="1"/>
  <c r="M32" i="96" s="1"/>
  <c r="E109" i="73"/>
  <c r="E86" i="73"/>
  <c r="E60" i="73"/>
  <c r="E89" i="73"/>
  <c r="E79" i="73"/>
  <c r="E108" i="73"/>
  <c r="E87" i="73"/>
  <c r="E82" i="73"/>
  <c r="E91" i="73"/>
  <c r="E93" i="73"/>
  <c r="E83" i="73"/>
  <c r="E68" i="73"/>
  <c r="E64" i="73"/>
  <c r="E70" i="73"/>
  <c r="E76" i="73"/>
  <c r="E101" i="73"/>
  <c r="E63" i="73"/>
  <c r="E102" i="73"/>
  <c r="E111" i="73"/>
  <c r="E100" i="73"/>
  <c r="E106" i="73"/>
  <c r="E56" i="73"/>
  <c r="E72" i="73"/>
  <c r="E75" i="73"/>
  <c r="E58" i="73"/>
  <c r="E94" i="73"/>
  <c r="E107" i="73"/>
  <c r="E67" i="73"/>
  <c r="E85" i="73"/>
  <c r="E55" i="73"/>
  <c r="E88" i="73"/>
  <c r="E81" i="73"/>
  <c r="E104" i="73"/>
  <c r="E99" i="73"/>
  <c r="E97" i="73"/>
  <c r="E110" i="73"/>
  <c r="E59" i="73"/>
  <c r="E98" i="73"/>
  <c r="E105" i="73"/>
  <c r="E90" i="73"/>
  <c r="E71" i="73"/>
  <c r="E92" i="73"/>
  <c r="E96" i="73"/>
  <c r="E61" i="73"/>
  <c r="E66" i="73"/>
  <c r="E62" i="73"/>
  <c r="E54" i="73"/>
  <c r="E95" i="73"/>
  <c r="E78" i="73"/>
  <c r="E73" i="73"/>
  <c r="E65" i="73"/>
  <c r="E84" i="73"/>
  <c r="E103" i="73"/>
  <c r="E80" i="73"/>
  <c r="E74" i="73"/>
  <c r="E77" i="73"/>
  <c r="E57" i="73"/>
  <c r="E69" i="73"/>
  <c r="AX14" i="91"/>
  <c r="AT33" i="32"/>
  <c r="H38" i="32"/>
  <c r="H37" i="32"/>
  <c r="T55" i="32"/>
  <c r="T56" i="32"/>
  <c r="AB29" i="32"/>
  <c r="W38" i="81"/>
  <c r="AT11" i="95"/>
  <c r="G7" i="92"/>
  <c r="G7" i="91"/>
  <c r="AT17" i="32"/>
  <c r="AC12" i="99" a="1"/>
  <c r="AC12" i="99" s="1"/>
  <c r="S8" i="32"/>
  <c r="J70" i="92"/>
  <c r="AC13" i="99"/>
  <c r="AJ13" i="99"/>
  <c r="J71" i="94"/>
  <c r="J67" i="95"/>
  <c r="J70" i="95"/>
  <c r="S8" i="94"/>
  <c r="S10" i="94"/>
  <c r="AT17" i="94"/>
  <c r="AW40" i="95"/>
  <c r="AV40" i="95"/>
  <c r="M36" i="94"/>
  <c r="L36" i="94"/>
  <c r="AV40" i="93"/>
  <c r="AW40" i="93"/>
  <c r="Y39" i="92"/>
  <c r="Y36" i="92"/>
  <c r="Y38" i="92"/>
  <c r="Y37" i="92"/>
  <c r="J65" i="92"/>
  <c r="J67" i="91"/>
  <c r="B106" i="93"/>
  <c r="B100" i="93"/>
  <c r="B50" i="93"/>
  <c r="B114" i="93"/>
  <c r="B48" i="93"/>
  <c r="B58" i="93"/>
  <c r="B112" i="93"/>
  <c r="B62" i="93"/>
  <c r="B60" i="93"/>
  <c r="B70" i="93"/>
  <c r="B37" i="93"/>
  <c r="B74" i="93"/>
  <c r="B84" i="93"/>
  <c r="B82" i="93"/>
  <c r="B49" i="93"/>
  <c r="B86" i="93"/>
  <c r="B96" i="93"/>
  <c r="B94" i="93"/>
  <c r="B61" i="93"/>
  <c r="B39" i="93"/>
  <c r="B110" i="93"/>
  <c r="B108" i="93"/>
  <c r="B73" i="93"/>
  <c r="B51" i="93"/>
  <c r="B41" i="93"/>
  <c r="B47" i="93"/>
  <c r="B97" i="93"/>
  <c r="B59" i="93"/>
  <c r="B75" i="93"/>
  <c r="B40" i="93"/>
  <c r="B65" i="93"/>
  <c r="B54" i="93"/>
  <c r="B55" i="93"/>
  <c r="B56" i="93"/>
  <c r="B57" i="93"/>
  <c r="B52" i="93"/>
  <c r="B89" i="93"/>
  <c r="B103" i="93"/>
  <c r="B69" i="93"/>
  <c r="B64" i="93"/>
  <c r="B101" i="93"/>
  <c r="B44" i="93"/>
  <c r="B105" i="93"/>
  <c r="B78" i="93"/>
  <c r="B90" i="93"/>
  <c r="B77" i="93"/>
  <c r="B45" i="93"/>
  <c r="B71" i="93"/>
  <c r="B81" i="93"/>
  <c r="B92" i="93"/>
  <c r="B83" i="93"/>
  <c r="B76" i="93"/>
  <c r="B113" i="93"/>
  <c r="B68" i="93"/>
  <c r="B93" i="93"/>
  <c r="B107" i="93"/>
  <c r="B66" i="93"/>
  <c r="B104" i="93"/>
  <c r="B63" i="93"/>
  <c r="B79" i="93"/>
  <c r="B91" i="93"/>
  <c r="B95" i="93"/>
  <c r="B88" i="93"/>
  <c r="B42" i="93"/>
  <c r="B80" i="93"/>
  <c r="B53" i="93"/>
  <c r="B98" i="93"/>
  <c r="B38" i="93"/>
  <c r="B67" i="93"/>
  <c r="B36" i="93"/>
  <c r="B85" i="93"/>
  <c r="B87" i="93"/>
  <c r="B102" i="93"/>
  <c r="B109" i="93"/>
  <c r="B99" i="93"/>
  <c r="B72" i="93"/>
  <c r="B43" i="93"/>
  <c r="B46" i="93"/>
  <c r="B111" i="93"/>
  <c r="J67" i="93"/>
  <c r="H59" i="94"/>
  <c r="H58" i="94"/>
  <c r="H55" i="94"/>
  <c r="H60" i="94"/>
  <c r="H54" i="94"/>
  <c r="H57" i="94"/>
  <c r="H56" i="94"/>
  <c r="AT35" i="95"/>
  <c r="AT33" i="95"/>
  <c r="AT35" i="94"/>
  <c r="AT33" i="94"/>
  <c r="AT35" i="93"/>
  <c r="AT33" i="93"/>
  <c r="L42" i="92"/>
  <c r="L38" i="92"/>
  <c r="M38" i="92" s="1"/>
  <c r="L39" i="92"/>
  <c r="L41" i="92"/>
  <c r="L40" i="92"/>
  <c r="J71" i="95"/>
  <c r="J71" i="91"/>
  <c r="J70" i="94"/>
  <c r="B106" i="95"/>
  <c r="B60" i="95"/>
  <c r="B48" i="95"/>
  <c r="B36" i="95"/>
  <c r="B108" i="95"/>
  <c r="B96" i="95"/>
  <c r="B84" i="95"/>
  <c r="B72" i="95"/>
  <c r="B97" i="95"/>
  <c r="B38" i="95"/>
  <c r="B101" i="95"/>
  <c r="B78" i="95"/>
  <c r="B67" i="95"/>
  <c r="B80" i="95"/>
  <c r="B109" i="95"/>
  <c r="B50" i="95"/>
  <c r="B113" i="95"/>
  <c r="B90" i="95"/>
  <c r="B79" i="95"/>
  <c r="B92" i="95"/>
  <c r="B52" i="95"/>
  <c r="B62" i="95"/>
  <c r="B102" i="95"/>
  <c r="B91" i="95"/>
  <c r="B104" i="95"/>
  <c r="B45" i="95"/>
  <c r="B74" i="95"/>
  <c r="B39" i="95"/>
  <c r="B114" i="95"/>
  <c r="B103" i="95"/>
  <c r="B57" i="95"/>
  <c r="B47" i="95"/>
  <c r="B75" i="95"/>
  <c r="B86" i="95"/>
  <c r="B51" i="95"/>
  <c r="B69" i="95"/>
  <c r="B110" i="95"/>
  <c r="B93" i="95"/>
  <c r="B98" i="95"/>
  <c r="B63" i="95"/>
  <c r="B40" i="95"/>
  <c r="B81" i="95"/>
  <c r="B59" i="95"/>
  <c r="B37" i="95"/>
  <c r="B87" i="95"/>
  <c r="B64" i="95"/>
  <c r="B41" i="95"/>
  <c r="B105" i="95"/>
  <c r="B46" i="95"/>
  <c r="B71" i="95"/>
  <c r="B49" i="95"/>
  <c r="B99" i="95"/>
  <c r="B76" i="95"/>
  <c r="B53" i="95"/>
  <c r="B58" i="95"/>
  <c r="B66" i="95"/>
  <c r="B112" i="95"/>
  <c r="B107" i="95"/>
  <c r="B61" i="95"/>
  <c r="B111" i="95"/>
  <c r="B70" i="95"/>
  <c r="B73" i="95"/>
  <c r="B43" i="95"/>
  <c r="B82" i="95"/>
  <c r="B83" i="95"/>
  <c r="B95" i="95"/>
  <c r="B54" i="95"/>
  <c r="B85" i="95"/>
  <c r="B55" i="95"/>
  <c r="B94" i="95"/>
  <c r="B42" i="95"/>
  <c r="B88" i="95"/>
  <c r="B44" i="95"/>
  <c r="B68" i="95"/>
  <c r="B89" i="95"/>
  <c r="B100" i="95"/>
  <c r="B56" i="95"/>
  <c r="B65" i="95"/>
  <c r="B77" i="95"/>
  <c r="P57" i="95"/>
  <c r="P54" i="95"/>
  <c r="P56" i="95"/>
  <c r="P55" i="95"/>
  <c r="H59" i="92"/>
  <c r="H56" i="92"/>
  <c r="H55" i="92"/>
  <c r="H60" i="92"/>
  <c r="H54" i="92"/>
  <c r="H58" i="92"/>
  <c r="H57" i="92"/>
  <c r="J71" i="92"/>
  <c r="J66" i="92"/>
  <c r="B106" i="92"/>
  <c r="B49" i="92"/>
  <c r="B111" i="92"/>
  <c r="B76" i="92"/>
  <c r="B36" i="92"/>
  <c r="B113" i="92"/>
  <c r="B98" i="92"/>
  <c r="B79" i="92"/>
  <c r="B93" i="92"/>
  <c r="B61" i="92"/>
  <c r="B88" i="92"/>
  <c r="B60" i="92"/>
  <c r="B110" i="92"/>
  <c r="B91" i="92"/>
  <c r="B105" i="92"/>
  <c r="B103" i="92"/>
  <c r="B73" i="92"/>
  <c r="B100" i="92"/>
  <c r="B72" i="92"/>
  <c r="B44" i="92"/>
  <c r="B46" i="92"/>
  <c r="B85" i="92"/>
  <c r="B112" i="92"/>
  <c r="B84" i="92"/>
  <c r="B42" i="92"/>
  <c r="B56" i="92"/>
  <c r="B58" i="92"/>
  <c r="B66" i="92"/>
  <c r="B47" i="92"/>
  <c r="B97" i="92"/>
  <c r="B108" i="92"/>
  <c r="B54" i="92"/>
  <c r="B68" i="92"/>
  <c r="B70" i="92"/>
  <c r="B59" i="92"/>
  <c r="B109" i="92"/>
  <c r="B80" i="92"/>
  <c r="B82" i="92"/>
  <c r="B95" i="92"/>
  <c r="B51" i="92"/>
  <c r="B53" i="92"/>
  <c r="B90" i="92"/>
  <c r="B104" i="92"/>
  <c r="B48" i="92"/>
  <c r="B71" i="92"/>
  <c r="B39" i="92"/>
  <c r="B50" i="92"/>
  <c r="B67" i="92"/>
  <c r="B107" i="92"/>
  <c r="B63" i="92"/>
  <c r="B62" i="92"/>
  <c r="B92" i="92"/>
  <c r="B43" i="92"/>
  <c r="B38" i="92"/>
  <c r="B55" i="92"/>
  <c r="B94" i="92"/>
  <c r="B96" i="92"/>
  <c r="B75" i="92"/>
  <c r="B74" i="92"/>
  <c r="B87" i="92"/>
  <c r="B78" i="92"/>
  <c r="B37" i="92"/>
  <c r="B99" i="92"/>
  <c r="B102" i="92"/>
  <c r="B114" i="92"/>
  <c r="B65" i="92"/>
  <c r="B64" i="92"/>
  <c r="B41" i="92"/>
  <c r="B86" i="92"/>
  <c r="B77" i="92"/>
  <c r="B45" i="92"/>
  <c r="B40" i="92"/>
  <c r="B89" i="92"/>
  <c r="B57" i="92"/>
  <c r="B52" i="92"/>
  <c r="B101" i="92"/>
  <c r="B83" i="92"/>
  <c r="B69" i="92"/>
  <c r="B81" i="92"/>
  <c r="M36" i="95"/>
  <c r="L36" i="95"/>
  <c r="AT35" i="91"/>
  <c r="AT33" i="91"/>
  <c r="H59" i="93"/>
  <c r="H56" i="93"/>
  <c r="H55" i="93"/>
  <c r="H60" i="93"/>
  <c r="H54" i="93"/>
  <c r="H57" i="93"/>
  <c r="H58" i="93"/>
  <c r="Y39" i="93"/>
  <c r="Y36" i="93"/>
  <c r="Y37" i="93"/>
  <c r="Y38" i="93"/>
  <c r="Y39" i="95"/>
  <c r="Y36" i="95"/>
  <c r="Y37" i="95"/>
  <c r="Y38" i="95"/>
  <c r="J65" i="95"/>
  <c r="J68" i="92"/>
  <c r="J70" i="91"/>
  <c r="H59" i="91"/>
  <c r="H60" i="91"/>
  <c r="H54" i="91"/>
  <c r="H58" i="91"/>
  <c r="H55" i="91"/>
  <c r="H56" i="91"/>
  <c r="H57" i="91"/>
  <c r="B106" i="91"/>
  <c r="B51" i="91"/>
  <c r="B52" i="91"/>
  <c r="B65" i="91"/>
  <c r="B90" i="91"/>
  <c r="B80" i="91"/>
  <c r="B93" i="91"/>
  <c r="B63" i="91"/>
  <c r="B64" i="91"/>
  <c r="B77" i="91"/>
  <c r="B102" i="91"/>
  <c r="B92" i="91"/>
  <c r="B105" i="91"/>
  <c r="B37" i="91"/>
  <c r="B38" i="91"/>
  <c r="B75" i="91"/>
  <c r="B76" i="91"/>
  <c r="B89" i="91"/>
  <c r="B114" i="91"/>
  <c r="B104" i="91"/>
  <c r="B83" i="91"/>
  <c r="B49" i="91"/>
  <c r="B50" i="91"/>
  <c r="B87" i="91"/>
  <c r="B88" i="91"/>
  <c r="B101" i="91"/>
  <c r="B43" i="91"/>
  <c r="B73" i="91"/>
  <c r="B111" i="91"/>
  <c r="B112" i="91"/>
  <c r="B67" i="91"/>
  <c r="B47" i="91"/>
  <c r="B61" i="91"/>
  <c r="B62" i="91"/>
  <c r="B99" i="91"/>
  <c r="B100" i="91"/>
  <c r="B113" i="91"/>
  <c r="B55" i="91"/>
  <c r="B74" i="91"/>
  <c r="B60" i="91"/>
  <c r="B97" i="91"/>
  <c r="B98" i="91"/>
  <c r="B95" i="91"/>
  <c r="B91" i="91"/>
  <c r="B46" i="91"/>
  <c r="B86" i="91"/>
  <c r="B48" i="91"/>
  <c r="B68" i="91"/>
  <c r="B110" i="91"/>
  <c r="B41" i="91"/>
  <c r="B36" i="91"/>
  <c r="B53" i="91"/>
  <c r="B45" i="91"/>
  <c r="B59" i="91"/>
  <c r="B107" i="91"/>
  <c r="B79" i="91"/>
  <c r="B54" i="91"/>
  <c r="B72" i="91"/>
  <c r="B57" i="91"/>
  <c r="B84" i="91"/>
  <c r="B39" i="91"/>
  <c r="B42" i="91"/>
  <c r="B81" i="91"/>
  <c r="B56" i="91"/>
  <c r="B69" i="91"/>
  <c r="B108" i="91"/>
  <c r="B94" i="91"/>
  <c r="B96" i="91"/>
  <c r="B66" i="91"/>
  <c r="B70" i="91"/>
  <c r="B103" i="91"/>
  <c r="B40" i="91"/>
  <c r="B85" i="91"/>
  <c r="B71" i="91"/>
  <c r="B78" i="91"/>
  <c r="B58" i="91"/>
  <c r="B109" i="91"/>
  <c r="B82" i="91"/>
  <c r="B44" i="91"/>
  <c r="J65" i="93"/>
  <c r="J68" i="94"/>
  <c r="J66" i="94"/>
  <c r="Y39" i="91"/>
  <c r="Y38" i="91"/>
  <c r="Y37" i="91"/>
  <c r="Y36" i="91"/>
  <c r="L42" i="94"/>
  <c r="L39" i="94"/>
  <c r="L38" i="94"/>
  <c r="M38" i="94" s="1"/>
  <c r="L41" i="94"/>
  <c r="L40" i="94"/>
  <c r="AT33" i="92"/>
  <c r="AT35" i="92"/>
  <c r="L42" i="93"/>
  <c r="L38" i="93"/>
  <c r="M38" i="93" s="1"/>
  <c r="L39" i="93"/>
  <c r="L40" i="93"/>
  <c r="L41" i="93"/>
  <c r="AZ21" i="95"/>
  <c r="S18" i="95"/>
  <c r="AY21" i="95"/>
  <c r="AV7" i="95"/>
  <c r="AZ21" i="94"/>
  <c r="S18" i="94"/>
  <c r="AV7" i="94"/>
  <c r="AY21" i="94"/>
  <c r="J68" i="93"/>
  <c r="J68" i="95"/>
  <c r="J66" i="95"/>
  <c r="B106" i="94"/>
  <c r="B84" i="94"/>
  <c r="B98" i="94"/>
  <c r="B51" i="94"/>
  <c r="B42" i="94"/>
  <c r="B44" i="94"/>
  <c r="B70" i="94"/>
  <c r="B96" i="94"/>
  <c r="B110" i="94"/>
  <c r="B63" i="94"/>
  <c r="B40" i="94"/>
  <c r="B54" i="94"/>
  <c r="B43" i="94"/>
  <c r="B56" i="94"/>
  <c r="B82" i="94"/>
  <c r="B75" i="94"/>
  <c r="B52" i="94"/>
  <c r="B66" i="94"/>
  <c r="B55" i="94"/>
  <c r="B68" i="94"/>
  <c r="B94" i="94"/>
  <c r="B37" i="94"/>
  <c r="B87" i="94"/>
  <c r="B64" i="94"/>
  <c r="B78" i="94"/>
  <c r="B67" i="94"/>
  <c r="B80" i="94"/>
  <c r="B49" i="94"/>
  <c r="B99" i="94"/>
  <c r="B76" i="94"/>
  <c r="B41" i="94"/>
  <c r="B90" i="94"/>
  <c r="B79" i="94"/>
  <c r="B92" i="94"/>
  <c r="B61" i="94"/>
  <c r="B111" i="94"/>
  <c r="B88" i="94"/>
  <c r="B53" i="94"/>
  <c r="B102" i="94"/>
  <c r="B91" i="94"/>
  <c r="B104" i="94"/>
  <c r="B45" i="94"/>
  <c r="B85" i="94"/>
  <c r="B38" i="94"/>
  <c r="B112" i="94"/>
  <c r="B77" i="94"/>
  <c r="B59" i="94"/>
  <c r="B69" i="94"/>
  <c r="B36" i="94"/>
  <c r="B97" i="94"/>
  <c r="B86" i="94"/>
  <c r="B100" i="94"/>
  <c r="B83" i="94"/>
  <c r="B48" i="94"/>
  <c r="B57" i="94"/>
  <c r="B105" i="94"/>
  <c r="B62" i="94"/>
  <c r="B74" i="94"/>
  <c r="B71" i="94"/>
  <c r="B95" i="94"/>
  <c r="B60" i="94"/>
  <c r="B107" i="94"/>
  <c r="B46" i="94"/>
  <c r="B65" i="94"/>
  <c r="B39" i="94"/>
  <c r="B72" i="94"/>
  <c r="B114" i="94"/>
  <c r="B58" i="94"/>
  <c r="B89" i="94"/>
  <c r="B73" i="94"/>
  <c r="B108" i="94"/>
  <c r="B109" i="94"/>
  <c r="B101" i="94"/>
  <c r="B81" i="94"/>
  <c r="B113" i="94"/>
  <c r="B103" i="94"/>
  <c r="B93" i="94"/>
  <c r="B50" i="94"/>
  <c r="B47" i="94"/>
  <c r="AD116" i="95"/>
  <c r="AD96" i="95"/>
  <c r="AD61" i="95"/>
  <c r="AD102" i="95"/>
  <c r="AD56" i="95"/>
  <c r="AD57" i="95"/>
  <c r="AD108" i="95"/>
  <c r="AD73" i="95"/>
  <c r="AD114" i="95"/>
  <c r="AD55" i="95"/>
  <c r="AD68" i="95"/>
  <c r="AD69" i="95"/>
  <c r="AD85" i="95"/>
  <c r="AD62" i="95"/>
  <c r="AD67" i="95"/>
  <c r="AD80" i="95"/>
  <c r="AD94" i="95"/>
  <c r="AD58" i="95"/>
  <c r="AD81" i="95"/>
  <c r="AD97" i="95"/>
  <c r="AD74" i="95"/>
  <c r="AD79" i="95"/>
  <c r="AD92" i="95"/>
  <c r="AD87" i="95"/>
  <c r="AD76" i="95"/>
  <c r="AD115" i="95"/>
  <c r="AD70" i="95"/>
  <c r="AD93" i="95"/>
  <c r="AD109" i="95"/>
  <c r="AD86" i="95"/>
  <c r="AD63" i="95"/>
  <c r="AD65" i="95"/>
  <c r="AD91" i="95"/>
  <c r="AD104" i="95"/>
  <c r="AD110" i="95"/>
  <c r="AD89" i="95"/>
  <c r="AD82" i="95"/>
  <c r="AD105" i="95"/>
  <c r="AD98" i="95"/>
  <c r="AD75" i="95"/>
  <c r="AD64" i="95"/>
  <c r="AD77" i="95"/>
  <c r="AD103" i="95"/>
  <c r="AD106" i="95"/>
  <c r="AD71" i="95"/>
  <c r="AD99" i="95"/>
  <c r="AD88" i="95"/>
  <c r="AD101" i="95"/>
  <c r="AD83" i="95"/>
  <c r="AD111" i="95"/>
  <c r="AD100" i="95"/>
  <c r="AD113" i="95"/>
  <c r="AD54" i="95"/>
  <c r="AD84" i="95"/>
  <c r="AD112" i="95"/>
  <c r="AD95" i="95"/>
  <c r="AD90" i="95"/>
  <c r="AD72" i="95"/>
  <c r="AD59" i="95"/>
  <c r="AD107" i="95"/>
  <c r="AD66" i="95"/>
  <c r="AD78" i="95"/>
  <c r="AD60" i="95"/>
  <c r="AD116" i="94"/>
  <c r="AD58" i="94"/>
  <c r="AD109" i="94"/>
  <c r="AD74" i="94"/>
  <c r="AD112" i="94"/>
  <c r="AD66" i="94"/>
  <c r="AD69" i="94"/>
  <c r="AD86" i="94"/>
  <c r="AD63" i="94"/>
  <c r="AD78" i="94"/>
  <c r="AD70" i="94"/>
  <c r="AD59" i="94"/>
  <c r="AD98" i="94"/>
  <c r="AD75" i="94"/>
  <c r="AD90" i="94"/>
  <c r="AD81" i="94"/>
  <c r="AD71" i="94"/>
  <c r="AD110" i="94"/>
  <c r="AD87" i="94"/>
  <c r="AD102" i="94"/>
  <c r="AD56" i="94"/>
  <c r="AD82" i="94"/>
  <c r="AD83" i="94"/>
  <c r="AD60" i="94"/>
  <c r="AD99" i="94"/>
  <c r="AD114" i="94"/>
  <c r="AD55" i="94"/>
  <c r="AD68" i="94"/>
  <c r="AD93" i="94"/>
  <c r="AD95" i="94"/>
  <c r="AD72" i="94"/>
  <c r="AD111" i="94"/>
  <c r="AD67" i="94"/>
  <c r="AD80" i="94"/>
  <c r="AD105" i="94"/>
  <c r="AD96" i="94"/>
  <c r="AD65" i="94"/>
  <c r="AD91" i="94"/>
  <c r="AD104" i="94"/>
  <c r="AD106" i="94"/>
  <c r="AD113" i="94"/>
  <c r="AD103" i="94"/>
  <c r="AD73" i="94"/>
  <c r="AD77" i="94"/>
  <c r="AD97" i="94"/>
  <c r="AD101" i="94"/>
  <c r="AD79" i="94"/>
  <c r="AD115" i="94"/>
  <c r="AD76" i="94"/>
  <c r="AD84" i="94"/>
  <c r="AD88" i="94"/>
  <c r="AD108" i="94"/>
  <c r="AD54" i="94"/>
  <c r="AD89" i="94"/>
  <c r="AD62" i="94"/>
  <c r="AD64" i="94"/>
  <c r="AD92" i="94"/>
  <c r="AD85" i="94"/>
  <c r="AD57" i="94"/>
  <c r="AD100" i="94"/>
  <c r="AD94" i="94"/>
  <c r="AD107" i="94"/>
  <c r="AD61" i="94"/>
  <c r="S8" i="92"/>
  <c r="AT17" i="92"/>
  <c r="S10" i="92"/>
  <c r="J69" i="93"/>
  <c r="J69" i="92"/>
  <c r="J66" i="91"/>
  <c r="L42" i="91"/>
  <c r="L40" i="91"/>
  <c r="L39" i="91"/>
  <c r="L38" i="91"/>
  <c r="M38" i="91" s="1"/>
  <c r="L41" i="91"/>
  <c r="AD116" i="93"/>
  <c r="AD58" i="93"/>
  <c r="AD65" i="93"/>
  <c r="AD69" i="93"/>
  <c r="AD106" i="93"/>
  <c r="AD61" i="93"/>
  <c r="AD63" i="93"/>
  <c r="AD64" i="93"/>
  <c r="AD77" i="93"/>
  <c r="AD70" i="93"/>
  <c r="AD60" i="93"/>
  <c r="AD59" i="93"/>
  <c r="AD73" i="93"/>
  <c r="AD75" i="93"/>
  <c r="AD76" i="93"/>
  <c r="AD89" i="93"/>
  <c r="AD72" i="93"/>
  <c r="AD108" i="93"/>
  <c r="AD71" i="93"/>
  <c r="AD85" i="93"/>
  <c r="AD87" i="93"/>
  <c r="AD88" i="93"/>
  <c r="AD101" i="93"/>
  <c r="AD81" i="93"/>
  <c r="AD83" i="93"/>
  <c r="AD97" i="93"/>
  <c r="AD99" i="93"/>
  <c r="AD100" i="93"/>
  <c r="AD113" i="93"/>
  <c r="AD56" i="93"/>
  <c r="AD82" i="93"/>
  <c r="AD95" i="93"/>
  <c r="AD109" i="93"/>
  <c r="AD62" i="93"/>
  <c r="AD111" i="93"/>
  <c r="AD112" i="93"/>
  <c r="AD54" i="93"/>
  <c r="AD55" i="93"/>
  <c r="AD68" i="93"/>
  <c r="AD93" i="93"/>
  <c r="AD86" i="93"/>
  <c r="AD78" i="93"/>
  <c r="AD79" i="93"/>
  <c r="AD92" i="93"/>
  <c r="AD57" i="93"/>
  <c r="AD107" i="93"/>
  <c r="AD105" i="93"/>
  <c r="AD66" i="93"/>
  <c r="AD84" i="93"/>
  <c r="AD104" i="93"/>
  <c r="AD67" i="93"/>
  <c r="AD74" i="93"/>
  <c r="AD91" i="93"/>
  <c r="AD103" i="93"/>
  <c r="AD80" i="93"/>
  <c r="AD98" i="93"/>
  <c r="AD114" i="93"/>
  <c r="AD96" i="93"/>
  <c r="AD110" i="93"/>
  <c r="AD90" i="93"/>
  <c r="AD115" i="93"/>
  <c r="AD102" i="93"/>
  <c r="AD94" i="93"/>
  <c r="L42" i="95"/>
  <c r="L39" i="95"/>
  <c r="L38" i="95"/>
  <c r="M38" i="95" s="1"/>
  <c r="L40" i="95"/>
  <c r="L41" i="95"/>
  <c r="AV40" i="32"/>
  <c r="M36" i="92"/>
  <c r="L36" i="92"/>
  <c r="J65" i="91"/>
  <c r="J66" i="93"/>
  <c r="J67" i="92"/>
  <c r="AB29" i="92"/>
  <c r="AQ7" i="92"/>
  <c r="P57" i="92"/>
  <c r="P54" i="92"/>
  <c r="P55" i="92"/>
  <c r="P56" i="92"/>
  <c r="P57" i="94"/>
  <c r="P54" i="94"/>
  <c r="P56" i="94"/>
  <c r="P55" i="94"/>
  <c r="AZ21" i="91"/>
  <c r="AV7" i="91"/>
  <c r="S18" i="91"/>
  <c r="AY21" i="91"/>
  <c r="AC61" i="99"/>
  <c r="AZ21" i="93"/>
  <c r="AY21" i="93"/>
  <c r="S18" i="93"/>
  <c r="AV7" i="93"/>
  <c r="S8" i="93"/>
  <c r="AT17" i="93"/>
  <c r="S10" i="93"/>
  <c r="AB29" i="93"/>
  <c r="AQ7" i="93"/>
  <c r="AV40" i="92"/>
  <c r="AW40" i="92"/>
  <c r="S8" i="91"/>
  <c r="AT17" i="91"/>
  <c r="S10" i="91"/>
  <c r="S8" i="95"/>
  <c r="S10" i="95"/>
  <c r="AT17" i="95"/>
  <c r="J71" i="93"/>
  <c r="J69" i="94"/>
  <c r="J70" i="93"/>
  <c r="AB29" i="95"/>
  <c r="AQ7" i="95"/>
  <c r="B35" i="81"/>
  <c r="M47" i="81" s="1"/>
  <c r="AD73" i="91"/>
  <c r="AD74" i="91"/>
  <c r="AD79" i="91"/>
  <c r="AD75" i="91"/>
  <c r="AD100" i="91"/>
  <c r="AD88" i="91"/>
  <c r="AD110" i="91"/>
  <c r="AD116" i="91"/>
  <c r="AD66" i="91"/>
  <c r="AD67" i="91"/>
  <c r="AD105" i="91"/>
  <c r="AD64" i="91"/>
  <c r="AD113" i="91"/>
  <c r="AD115" i="91"/>
  <c r="AD93" i="91"/>
  <c r="AD86" i="91"/>
  <c r="AD70" i="91"/>
  <c r="AD82" i="91"/>
  <c r="AD80" i="91"/>
  <c r="AD60" i="91"/>
  <c r="AD77" i="91"/>
  <c r="AD58" i="91"/>
  <c r="AD94" i="91"/>
  <c r="AD72" i="91"/>
  <c r="AD109" i="91"/>
  <c r="AD59" i="91"/>
  <c r="AD92" i="91"/>
  <c r="AD98" i="91"/>
  <c r="AD103" i="91"/>
  <c r="AD97" i="91"/>
  <c r="AD99" i="91"/>
  <c r="AD83" i="91"/>
  <c r="AD71" i="91"/>
  <c r="AD90" i="91"/>
  <c r="AD62" i="91"/>
  <c r="AD95" i="91"/>
  <c r="AD65" i="91"/>
  <c r="AD96" i="91"/>
  <c r="AD107" i="91"/>
  <c r="AD108" i="91"/>
  <c r="AD114" i="91"/>
  <c r="AD63" i="91"/>
  <c r="AD91" i="91"/>
  <c r="AD84" i="91"/>
  <c r="AD111" i="91"/>
  <c r="AD55" i="91"/>
  <c r="AD104" i="91"/>
  <c r="AD112" i="91"/>
  <c r="AD87" i="91"/>
  <c r="AD69" i="91"/>
  <c r="AD57" i="91"/>
  <c r="AD54" i="91"/>
  <c r="AD68" i="91"/>
  <c r="AD101" i="91"/>
  <c r="AD78" i="91"/>
  <c r="AD76" i="91"/>
  <c r="AD61" i="91"/>
  <c r="AD85" i="91"/>
  <c r="AD106" i="91"/>
  <c r="AD89" i="91"/>
  <c r="AD81" i="91"/>
  <c r="AD102" i="91"/>
  <c r="AD56" i="91"/>
  <c r="M36" i="91"/>
  <c r="L36" i="91"/>
  <c r="P57" i="91"/>
  <c r="P55" i="91"/>
  <c r="P56" i="91"/>
  <c r="P54" i="91"/>
  <c r="P57" i="93"/>
  <c r="P54" i="93"/>
  <c r="P55" i="93"/>
  <c r="P56" i="93"/>
  <c r="J65" i="94"/>
  <c r="J69" i="95"/>
  <c r="J67" i="94"/>
  <c r="AB29" i="94"/>
  <c r="AQ7" i="94"/>
  <c r="Y39" i="94"/>
  <c r="Y36" i="94"/>
  <c r="Y38" i="94"/>
  <c r="Y37" i="94"/>
  <c r="AW40" i="94"/>
  <c r="AV40" i="94"/>
  <c r="M36" i="93"/>
  <c r="L36" i="93"/>
  <c r="AW40" i="91"/>
  <c r="AV40" i="91"/>
  <c r="J68" i="91"/>
  <c r="J69" i="91"/>
  <c r="AQ7" i="91"/>
  <c r="AB29" i="91"/>
  <c r="S18" i="92"/>
  <c r="AY21" i="92"/>
  <c r="AV7" i="92"/>
  <c r="AZ21" i="92"/>
  <c r="M36" i="32"/>
  <c r="G7" i="32"/>
  <c r="I42" i="73"/>
  <c r="AT11" i="32"/>
  <c r="Z51" i="96"/>
  <c r="P54" i="32"/>
  <c r="P57" i="32"/>
  <c r="P56" i="32"/>
  <c r="Z20" i="96"/>
  <c r="Z24" i="96"/>
  <c r="Z47" i="96"/>
  <c r="E42" i="73"/>
  <c r="M41" i="73"/>
  <c r="O41" i="73" s="1"/>
  <c r="AC26" i="73" s="1"/>
  <c r="Z23" i="96"/>
  <c r="AB17" i="50"/>
  <c r="Z15" i="96"/>
  <c r="DN4" i="50"/>
  <c r="AY21" i="32"/>
  <c r="AV7" i="32"/>
  <c r="AU31" i="32" s="1"/>
  <c r="AZ21" i="32"/>
  <c r="DN3" i="50"/>
  <c r="Z22" i="96"/>
  <c r="Z10" i="96"/>
  <c r="Z61" i="96"/>
  <c r="B101" i="32"/>
  <c r="B87" i="32"/>
  <c r="B58" i="32"/>
  <c r="B104" i="32"/>
  <c r="B77" i="32"/>
  <c r="B56" i="32"/>
  <c r="B84" i="32"/>
  <c r="B91" i="32"/>
  <c r="B80" i="32"/>
  <c r="B81" i="32"/>
  <c r="B98" i="32"/>
  <c r="B72" i="32"/>
  <c r="B47" i="32"/>
  <c r="B69" i="32"/>
  <c r="B38" i="32"/>
  <c r="B73" i="32"/>
  <c r="B83" i="32"/>
  <c r="B114" i="32"/>
  <c r="B48" i="32"/>
  <c r="B42" i="32"/>
  <c r="B67" i="32"/>
  <c r="B49" i="32"/>
  <c r="B63" i="32"/>
  <c r="B60" i="32"/>
  <c r="B94" i="32"/>
  <c r="B40" i="32"/>
  <c r="B103" i="32"/>
  <c r="B78" i="32"/>
  <c r="B110" i="32"/>
  <c r="B75" i="32"/>
  <c r="B50" i="32"/>
  <c r="B74" i="32"/>
  <c r="Z29" i="96"/>
  <c r="Z21" i="96"/>
  <c r="Z14" i="96"/>
  <c r="Z7" i="96"/>
  <c r="Z25" i="96"/>
  <c r="Z12" i="96"/>
  <c r="Z26" i="96"/>
  <c r="Z55" i="96"/>
  <c r="Z33" i="96"/>
  <c r="Z8" i="96"/>
  <c r="Z17" i="96"/>
  <c r="B37" i="32"/>
  <c r="B41" i="32"/>
  <c r="B68" i="32"/>
  <c r="B112" i="32"/>
  <c r="Z27" i="96"/>
  <c r="Z35" i="96"/>
  <c r="Z9" i="96"/>
  <c r="Z40" i="96"/>
  <c r="Z42" i="96"/>
  <c r="Z41" i="96"/>
  <c r="Z38" i="96"/>
  <c r="Z52" i="96"/>
  <c r="Z43" i="96"/>
  <c r="B62" i="32"/>
  <c r="B71" i="32"/>
  <c r="B79" i="32"/>
  <c r="B65" i="32"/>
  <c r="Z13" i="96"/>
  <c r="Z58" i="96"/>
  <c r="Z50" i="96"/>
  <c r="Z37" i="96"/>
  <c r="Z62" i="96"/>
  <c r="Z28" i="96"/>
  <c r="Z44" i="96"/>
  <c r="Z36" i="96"/>
  <c r="Z39" i="96"/>
  <c r="Z64" i="96"/>
  <c r="Z53" i="96"/>
  <c r="B95" i="32"/>
  <c r="B108" i="32"/>
  <c r="B92" i="32"/>
  <c r="B93" i="32"/>
  <c r="Z18" i="96"/>
  <c r="Z34" i="96"/>
  <c r="Z59" i="96"/>
  <c r="Z19" i="96"/>
  <c r="Z54" i="96"/>
  <c r="B85" i="32"/>
  <c r="Z32" i="96"/>
  <c r="B105" i="32"/>
  <c r="B57" i="32"/>
  <c r="B59" i="32"/>
  <c r="B61" i="32"/>
  <c r="B102" i="32"/>
  <c r="Z49" i="96"/>
  <c r="Z57" i="96"/>
  <c r="Z30" i="96"/>
  <c r="Z31" i="96"/>
  <c r="Z63" i="96"/>
  <c r="AE1" i="52"/>
  <c r="Z46" i="96"/>
  <c r="Z48" i="96"/>
  <c r="Z56" i="96"/>
  <c r="Z45" i="96"/>
  <c r="Z60" i="96"/>
  <c r="Z11" i="96"/>
  <c r="AE2" i="52"/>
  <c r="B113" i="32"/>
  <c r="B106" i="32"/>
  <c r="B52" i="32"/>
  <c r="B97" i="32"/>
  <c r="B70" i="32"/>
  <c r="B82" i="32"/>
  <c r="J67" i="32"/>
  <c r="J66" i="32"/>
  <c r="B107" i="32"/>
  <c r="B55" i="32"/>
  <c r="B89" i="32"/>
  <c r="B54" i="32"/>
  <c r="B64" i="32"/>
  <c r="B99" i="32"/>
  <c r="J69" i="32"/>
  <c r="AE7" i="52"/>
  <c r="AE3" i="52"/>
  <c r="AE5" i="52"/>
  <c r="B111" i="32"/>
  <c r="B51" i="32"/>
  <c r="B86" i="32"/>
  <c r="B109" i="32"/>
  <c r="B66" i="32"/>
  <c r="B53" i="32"/>
  <c r="B100" i="32"/>
  <c r="J70" i="32"/>
  <c r="B36" i="32"/>
  <c r="B39" i="32"/>
  <c r="B46" i="32"/>
  <c r="B90" i="32"/>
  <c r="B44" i="32"/>
  <c r="B96" i="32"/>
  <c r="J71" i="32"/>
  <c r="AE4" i="52"/>
  <c r="J65" i="32"/>
  <c r="AE6" i="52"/>
  <c r="J68" i="32"/>
  <c r="B45" i="32"/>
  <c r="B88" i="32"/>
  <c r="B43" i="32"/>
  <c r="M94" i="73"/>
  <c r="M109" i="73"/>
  <c r="M110" i="73"/>
  <c r="M78" i="73"/>
  <c r="M99" i="73"/>
  <c r="M79" i="73"/>
  <c r="M70" i="73"/>
  <c r="M103" i="73"/>
  <c r="M65" i="73"/>
  <c r="M93" i="73"/>
  <c r="M107" i="73"/>
  <c r="M76" i="73"/>
  <c r="M111" i="73"/>
  <c r="M105" i="73"/>
  <c r="M59" i="73"/>
  <c r="M88" i="73"/>
  <c r="M57" i="73"/>
  <c r="M91" i="73"/>
  <c r="M73" i="73"/>
  <c r="M87" i="73"/>
  <c r="M90" i="73"/>
  <c r="M69" i="73"/>
  <c r="M67" i="73"/>
  <c r="M82" i="73"/>
  <c r="M71" i="73"/>
  <c r="M63" i="73"/>
  <c r="M106" i="73"/>
  <c r="M80" i="73"/>
  <c r="M104" i="73"/>
  <c r="M62" i="73"/>
  <c r="M60" i="73"/>
  <c r="M77" i="73"/>
  <c r="M97" i="73"/>
  <c r="M58" i="73"/>
  <c r="M101" i="73"/>
  <c r="M66" i="73"/>
  <c r="M85" i="73"/>
  <c r="M83" i="73"/>
  <c r="M81" i="73"/>
  <c r="M64" i="73"/>
  <c r="M74" i="73"/>
  <c r="M95" i="73"/>
  <c r="M108" i="73"/>
  <c r="M55" i="73"/>
  <c r="M96" i="73"/>
  <c r="M98" i="73"/>
  <c r="M61" i="73"/>
  <c r="M86" i="73"/>
  <c r="M56" i="73"/>
  <c r="M102" i="73"/>
  <c r="M72" i="73"/>
  <c r="M68" i="73"/>
  <c r="M54" i="73"/>
  <c r="M75" i="73"/>
  <c r="M84" i="73"/>
  <c r="M92" i="73"/>
  <c r="M100" i="73"/>
  <c r="M89" i="73"/>
  <c r="I77" i="73"/>
  <c r="I101" i="73"/>
  <c r="I57" i="73"/>
  <c r="I68" i="73"/>
  <c r="I100" i="73"/>
  <c r="I72" i="73"/>
  <c r="I71" i="73"/>
  <c r="I95" i="73"/>
  <c r="I56" i="73"/>
  <c r="I109" i="73"/>
  <c r="I65" i="73"/>
  <c r="I87" i="73"/>
  <c r="I108" i="73"/>
  <c r="I88" i="73"/>
  <c r="I93" i="73"/>
  <c r="I59" i="73"/>
  <c r="I99" i="73"/>
  <c r="I61" i="73"/>
  <c r="I102" i="73"/>
  <c r="I73" i="73"/>
  <c r="I92" i="73"/>
  <c r="I97" i="73"/>
  <c r="I85" i="73"/>
  <c r="I104" i="73"/>
  <c r="I79" i="73"/>
  <c r="I84" i="73"/>
  <c r="I106" i="73"/>
  <c r="I81" i="73"/>
  <c r="I58" i="73"/>
  <c r="I91" i="73"/>
  <c r="I75" i="73"/>
  <c r="I69" i="73"/>
  <c r="I103" i="73"/>
  <c r="I60" i="73"/>
  <c r="I67" i="73"/>
  <c r="I86" i="73"/>
  <c r="I82" i="73"/>
  <c r="I105" i="73"/>
  <c r="I83" i="73"/>
  <c r="I63" i="73"/>
  <c r="I66" i="73"/>
  <c r="I98" i="73"/>
  <c r="I110" i="73"/>
  <c r="I62" i="73"/>
  <c r="I54" i="73"/>
  <c r="I94" i="73"/>
  <c r="I111" i="73"/>
  <c r="I107" i="73"/>
  <c r="I76" i="73"/>
  <c r="I55" i="73"/>
  <c r="I70" i="73"/>
  <c r="I78" i="73"/>
  <c r="I90" i="73"/>
  <c r="I80" i="73"/>
  <c r="I64" i="73"/>
  <c r="I89" i="73"/>
  <c r="I96" i="73"/>
  <c r="I74" i="73"/>
  <c r="P1" i="50" a="1"/>
  <c r="P1" i="50" s="1"/>
  <c r="AS300" i="6"/>
  <c r="AT300" i="6" s="1"/>
  <c r="AS299" i="6"/>
  <c r="AS302" i="6"/>
  <c r="AT302" i="6" s="1"/>
  <c r="AS297" i="6"/>
  <c r="AG295" i="6"/>
  <c r="AS301" i="6"/>
  <c r="AT301" i="6" s="1"/>
  <c r="AS298" i="6"/>
  <c r="AS86" i="6"/>
  <c r="AT86" i="6" s="1"/>
  <c r="AS83" i="6"/>
  <c r="AS82" i="6"/>
  <c r="AS81" i="6"/>
  <c r="AS84" i="6"/>
  <c r="AT84" i="6" s="1"/>
  <c r="AG79" i="6"/>
  <c r="AS85" i="6"/>
  <c r="AT85" i="6" s="1"/>
  <c r="AS190" i="6"/>
  <c r="AS194" i="6"/>
  <c r="AT194" i="6" s="1"/>
  <c r="AS189" i="6"/>
  <c r="AS193" i="6"/>
  <c r="AT193" i="6" s="1"/>
  <c r="AS192" i="6"/>
  <c r="AT192" i="6" s="1"/>
  <c r="AS191" i="6"/>
  <c r="AG187" i="6"/>
  <c r="AU136" i="6"/>
  <c r="AT136" i="6"/>
  <c r="AS248" i="6"/>
  <c r="AT248" i="6" s="1"/>
  <c r="AS244" i="6"/>
  <c r="AS247" i="6"/>
  <c r="AT247" i="6" s="1"/>
  <c r="AS243" i="6"/>
  <c r="AS245" i="6"/>
  <c r="AS246" i="6"/>
  <c r="AT246" i="6" s="1"/>
  <c r="AG241" i="6"/>
  <c r="AC325" i="6"/>
  <c r="AC109" i="6"/>
  <c r="AC271" i="6"/>
  <c r="AC55" i="6"/>
  <c r="AC163" i="6"/>
  <c r="AC217" i="6"/>
  <c r="AU137" i="6"/>
  <c r="AT137" i="6"/>
  <c r="AT135" i="6"/>
  <c r="AU135" i="6"/>
  <c r="AU134" i="6" s="1"/>
  <c r="AW134" i="6" s="1"/>
  <c r="AH133" i="6" s="1"/>
  <c r="AI133" i="6" s="1"/>
  <c r="AX14" i="95" a="1"/>
  <c r="T36" i="95" a="1"/>
  <c r="T36" i="93" a="1"/>
  <c r="AX14" i="93" a="1"/>
  <c r="T36" i="92" a="1"/>
  <c r="T36" i="32" a="1"/>
  <c r="AX14" i="32" a="1"/>
  <c r="T36" i="91" a="1"/>
  <c r="AD54" i="32" a="1"/>
  <c r="AF36" i="91" a="1"/>
  <c r="AF36" i="32" a="1"/>
  <c r="AF36" i="93" a="1"/>
  <c r="AF36" i="92" a="1"/>
  <c r="AF36" i="94" a="1"/>
  <c r="AF36" i="95" a="1"/>
  <c r="H54" i="95" l="1" a="1"/>
  <c r="T40" i="95"/>
  <c r="AX14" i="95"/>
  <c r="AX14" i="93"/>
  <c r="T42" i="92"/>
  <c r="T39" i="92"/>
  <c r="T45" i="92"/>
  <c r="T38" i="92"/>
  <c r="T36" i="92"/>
  <c r="T40" i="92"/>
  <c r="T41" i="92"/>
  <c r="T44" i="92"/>
  <c r="T43" i="92"/>
  <c r="T37" i="92"/>
  <c r="T37" i="94"/>
  <c r="T41" i="94"/>
  <c r="T42" i="94"/>
  <c r="T43" i="94"/>
  <c r="T44" i="94"/>
  <c r="T45" i="94"/>
  <c r="T39" i="94"/>
  <c r="T40" i="94"/>
  <c r="T38" i="94"/>
  <c r="T44" i="91"/>
  <c r="T59" i="32"/>
  <c r="L30" i="32"/>
  <c r="L30" i="91"/>
  <c r="L30" i="95"/>
  <c r="T42" i="95"/>
  <c r="T43" i="95"/>
  <c r="T45" i="91"/>
  <c r="T40" i="91"/>
  <c r="T45" i="95"/>
  <c r="T41" i="95"/>
  <c r="T41" i="91"/>
  <c r="T42" i="91"/>
  <c r="T44" i="95"/>
  <c r="T37" i="95"/>
  <c r="T38" i="95"/>
  <c r="T36" i="95"/>
  <c r="T39" i="95"/>
  <c r="T37" i="91"/>
  <c r="T43" i="91"/>
  <c r="T38" i="91"/>
  <c r="T36" i="91"/>
  <c r="T39" i="91"/>
  <c r="P36" i="91" a="1"/>
  <c r="P36" i="91" s="1"/>
  <c r="P36" i="95" a="1"/>
  <c r="P38" i="95" s="1"/>
  <c r="AF36" i="93"/>
  <c r="AF36" i="94"/>
  <c r="AF36" i="92"/>
  <c r="AF36" i="95"/>
  <c r="AF36" i="91"/>
  <c r="P36" i="93" a="1"/>
  <c r="T48" i="93"/>
  <c r="AD42" i="93"/>
  <c r="AD44" i="93"/>
  <c r="P36" i="92" a="1"/>
  <c r="P36" i="94" a="1"/>
  <c r="T48" i="94"/>
  <c r="AD44" i="94"/>
  <c r="AD42" i="94"/>
  <c r="T39" i="93"/>
  <c r="T41" i="93"/>
  <c r="T38" i="93"/>
  <c r="T37" i="93"/>
  <c r="T45" i="93"/>
  <c r="T40" i="93"/>
  <c r="T36" i="93"/>
  <c r="T42" i="93"/>
  <c r="T44" i="93"/>
  <c r="T43" i="93"/>
  <c r="L30" i="94"/>
  <c r="T48" i="92"/>
  <c r="AD44" i="92"/>
  <c r="AD42" i="92"/>
  <c r="T48" i="95"/>
  <c r="AD44" i="95"/>
  <c r="AD42" i="95"/>
  <c r="AD44" i="91"/>
  <c r="T48" i="91"/>
  <c r="AD42" i="91"/>
  <c r="L30" i="93"/>
  <c r="L30" i="92"/>
  <c r="AX14" i="32"/>
  <c r="T37" i="32"/>
  <c r="T36" i="32"/>
  <c r="T40" i="32"/>
  <c r="T45" i="32"/>
  <c r="T38" i="32"/>
  <c r="T42" i="32"/>
  <c r="T41" i="32"/>
  <c r="T39" i="32"/>
  <c r="T44" i="32"/>
  <c r="T43" i="32"/>
  <c r="AD44" i="32"/>
  <c r="H54" i="32" a="1"/>
  <c r="H56" i="32" s="1"/>
  <c r="O42" i="73"/>
  <c r="AC24" i="73" s="1"/>
  <c r="P36" i="32" a="1"/>
  <c r="P38" i="32" s="1"/>
  <c r="AD42" i="32"/>
  <c r="T48" i="32"/>
  <c r="AD107" i="32"/>
  <c r="AD57" i="32"/>
  <c r="AD101" i="32"/>
  <c r="AD76" i="32"/>
  <c r="AD98" i="32"/>
  <c r="AD79" i="32"/>
  <c r="AD66" i="32"/>
  <c r="AD115" i="32"/>
  <c r="AD112" i="32"/>
  <c r="AD54" i="32"/>
  <c r="AD70" i="32"/>
  <c r="AD64" i="32"/>
  <c r="AD108" i="32"/>
  <c r="AD61" i="32"/>
  <c r="AD86" i="32"/>
  <c r="AD71" i="32"/>
  <c r="AD80" i="32"/>
  <c r="AD95" i="32"/>
  <c r="AD97" i="32"/>
  <c r="AD104" i="32"/>
  <c r="AD91" i="32"/>
  <c r="AD68" i="32"/>
  <c r="AD85" i="32"/>
  <c r="AD60" i="32"/>
  <c r="AD67" i="32"/>
  <c r="AD58" i="32"/>
  <c r="AD103" i="32"/>
  <c r="AD96" i="32"/>
  <c r="AD116" i="32"/>
  <c r="AD94" i="32"/>
  <c r="AD106" i="32"/>
  <c r="AD90" i="32"/>
  <c r="AD89" i="32"/>
  <c r="AD63" i="32"/>
  <c r="AD81" i="32"/>
  <c r="AD88" i="32"/>
  <c r="AD111" i="32"/>
  <c r="AD113" i="32"/>
  <c r="AD110" i="32"/>
  <c r="AD84" i="32"/>
  <c r="AD78" i="32"/>
  <c r="AD72" i="32"/>
  <c r="AD73" i="32"/>
  <c r="AD109" i="32"/>
  <c r="AD105" i="32"/>
  <c r="AD77" i="32"/>
  <c r="AD99" i="32"/>
  <c r="AD65" i="32"/>
  <c r="AD75" i="32"/>
  <c r="AD114" i="32"/>
  <c r="AD82" i="32"/>
  <c r="AD92" i="32"/>
  <c r="AD100" i="32"/>
  <c r="AD83" i="32"/>
  <c r="AD56" i="32"/>
  <c r="AD93" i="32"/>
  <c r="AD59" i="32"/>
  <c r="AD87" i="32"/>
  <c r="AD102" i="32"/>
  <c r="AD74" i="32"/>
  <c r="AD69" i="32"/>
  <c r="AD55" i="32"/>
  <c r="AD62" i="32"/>
  <c r="AF36" i="32"/>
  <c r="AT189" i="6"/>
  <c r="AU189" i="6"/>
  <c r="AU188" i="6" s="1"/>
  <c r="AW188" i="6" s="1"/>
  <c r="AH187" i="6" s="1"/>
  <c r="AI187" i="6" s="1"/>
  <c r="AT243" i="6"/>
  <c r="AU243" i="6"/>
  <c r="AU242" i="6" s="1"/>
  <c r="AW242" i="6" s="1"/>
  <c r="AH241" i="6" s="1"/>
  <c r="AI241" i="6" s="1"/>
  <c r="AT190" i="6"/>
  <c r="AU190" i="6"/>
  <c r="AT245" i="6"/>
  <c r="AU245" i="6"/>
  <c r="AT244" i="6"/>
  <c r="AU244" i="6"/>
  <c r="AT298" i="6"/>
  <c r="AU298" i="6"/>
  <c r="AT81" i="6"/>
  <c r="AU81" i="6"/>
  <c r="AU80" i="6" s="1"/>
  <c r="AW80" i="6" s="1"/>
  <c r="AH79" i="6" s="1"/>
  <c r="AI79" i="6" s="1"/>
  <c r="AU82" i="6"/>
  <c r="AT82" i="6"/>
  <c r="AT297" i="6"/>
  <c r="AU297" i="6"/>
  <c r="AU296" i="6" s="1"/>
  <c r="AW296" i="6" s="1"/>
  <c r="AH295" i="6" s="1"/>
  <c r="AI295" i="6" s="1"/>
  <c r="AT83" i="6"/>
  <c r="AU83" i="6"/>
  <c r="AT191" i="6"/>
  <c r="AU191" i="6"/>
  <c r="AT299" i="6"/>
  <c r="AU299" i="6"/>
  <c r="AD54" i="92" a="1"/>
  <c r="H57" i="95" l="1"/>
  <c r="H58" i="95"/>
  <c r="H59" i="95"/>
  <c r="H55" i="95"/>
  <c r="H56" i="95"/>
  <c r="H60" i="95"/>
  <c r="H54" i="95"/>
  <c r="AD105" i="92"/>
  <c r="AD63" i="92"/>
  <c r="AD87" i="92"/>
  <c r="AD91" i="92"/>
  <c r="AD80" i="92"/>
  <c r="AD83" i="92"/>
  <c r="AD65" i="92"/>
  <c r="AD102" i="92"/>
  <c r="AD94" i="92"/>
  <c r="AD104" i="92"/>
  <c r="AD89" i="92"/>
  <c r="AD100" i="92"/>
  <c r="AD78" i="92"/>
  <c r="AD84" i="92"/>
  <c r="AD96" i="92"/>
  <c r="AD93" i="92"/>
  <c r="AD97" i="92"/>
  <c r="AD54" i="92"/>
  <c r="AD72" i="92"/>
  <c r="AD109" i="92"/>
  <c r="AD114" i="92"/>
  <c r="AD64" i="92"/>
  <c r="AD61" i="92"/>
  <c r="AD58" i="92"/>
  <c r="AD60" i="92"/>
  <c r="AD62" i="92"/>
  <c r="AD79" i="92"/>
  <c r="AD99" i="92"/>
  <c r="AD95" i="92"/>
  <c r="AD73" i="92"/>
  <c r="AD111" i="92"/>
  <c r="AD69" i="92"/>
  <c r="AD76" i="92"/>
  <c r="AD116" i="92"/>
  <c r="AD112" i="92"/>
  <c r="AD75" i="92"/>
  <c r="AD113" i="92"/>
  <c r="AD98" i="92"/>
  <c r="AD92" i="92"/>
  <c r="AD57" i="92"/>
  <c r="AD66" i="92"/>
  <c r="AD77" i="92"/>
  <c r="AD55" i="92"/>
  <c r="AD103" i="92"/>
  <c r="AD101" i="92"/>
  <c r="AD71" i="92"/>
  <c r="AD70" i="92"/>
  <c r="AD90" i="92"/>
  <c r="AD56" i="92"/>
  <c r="AD82" i="92"/>
  <c r="AD59" i="92"/>
  <c r="AD108" i="92"/>
  <c r="AD86" i="92"/>
  <c r="AD88" i="92"/>
  <c r="AD106" i="92"/>
  <c r="AD81" i="92"/>
  <c r="AD67" i="92"/>
  <c r="AD110" i="92"/>
  <c r="AD115" i="92"/>
  <c r="AD85" i="92"/>
  <c r="AD107" i="92"/>
  <c r="AD74" i="92"/>
  <c r="AD68" i="92"/>
  <c r="P38" i="91"/>
  <c r="P37" i="91"/>
  <c r="P36" i="95"/>
  <c r="X4" i="99"/>
  <c r="P37" i="95"/>
  <c r="AA9" i="71"/>
  <c r="AA174" i="71"/>
  <c r="P37" i="93"/>
  <c r="P36" i="93"/>
  <c r="P38" i="93"/>
  <c r="P38" i="94"/>
  <c r="P36" i="94"/>
  <c r="P37" i="94"/>
  <c r="P38" i="92"/>
  <c r="P37" i="92"/>
  <c r="P36" i="92"/>
  <c r="H57" i="32"/>
  <c r="H58" i="32"/>
  <c r="H59" i="32"/>
  <c r="H55" i="32"/>
  <c r="H60" i="32"/>
  <c r="H54" i="32"/>
  <c r="P36" i="32"/>
  <c r="P37"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Paja</author>
  </authors>
  <commentList>
    <comment ref="BD22" authorId="0" shapeId="0" xr:uid="{21208131-78E8-4ECD-892D-D0BC976A5384}">
      <text>
        <r>
          <rPr>
            <b/>
            <sz val="9"/>
            <color indexed="8"/>
            <rFont val="Tahoma"/>
            <family val="2"/>
            <charset val="238"/>
          </rPr>
          <t xml:space="preserve">Zjištění zda je závěs vložený, pak se vyhodí 1 jinak se vyhodí 2
</t>
        </r>
      </text>
    </comment>
    <comment ref="G44" authorId="1" shapeId="0" xr:uid="{1F800D80-A90B-4A73-B1AB-134898E8B28D}">
      <text>
        <r>
          <rPr>
            <b/>
            <sz val="9"/>
            <color indexed="81"/>
            <rFont val="Tahoma"/>
            <family val="2"/>
            <charset val="238"/>
          </rPr>
          <t>Vyplňte pouze pokud nebude vrtání symetricky na střed</t>
        </r>
      </text>
    </comment>
    <comment ref="S44" authorId="1" shapeId="0" xr:uid="{4AB4F621-1FC1-4869-B085-DA628533CB55}">
      <text>
        <r>
          <rPr>
            <b/>
            <sz val="9"/>
            <color indexed="81"/>
            <rFont val="Tahoma"/>
            <family val="2"/>
            <charset val="238"/>
          </rPr>
          <t>Vyplňte pouze pokud nebude vrtání symetricky na střed</t>
        </r>
      </text>
    </comment>
    <comment ref="BD76" authorId="0" shapeId="0" xr:uid="{BE80810F-2487-4F9B-B946-88834BE2D3C1}">
      <text>
        <r>
          <rPr>
            <b/>
            <sz val="9"/>
            <color indexed="8"/>
            <rFont val="Tahoma"/>
            <family val="2"/>
            <charset val="238"/>
          </rPr>
          <t xml:space="preserve">Zjištění zda je závěs vložený, pak se vyhodí 1 jinak se vyhodí 2
</t>
        </r>
      </text>
    </comment>
    <comment ref="BD130" authorId="0" shapeId="0" xr:uid="{9B4F81AD-84F6-4892-A977-93C230D7A248}">
      <text>
        <r>
          <rPr>
            <b/>
            <sz val="9"/>
            <color indexed="8"/>
            <rFont val="Tahoma"/>
            <family val="2"/>
            <charset val="238"/>
          </rPr>
          <t xml:space="preserve">Zjištění zda je závěs vložený, pak se vyhodí 1 jinak se vyhodí 2
</t>
        </r>
      </text>
    </comment>
    <comment ref="BD184" authorId="0" shapeId="0" xr:uid="{A27E470D-F33E-4863-97E5-EE864ED13F95}">
      <text>
        <r>
          <rPr>
            <b/>
            <sz val="9"/>
            <color indexed="8"/>
            <rFont val="Tahoma"/>
            <family val="2"/>
            <charset val="238"/>
          </rPr>
          <t xml:space="preserve">Zjištění zda je závěs vložený, pak se vyhodí 1 jinak se vyhodí 2
</t>
        </r>
      </text>
    </comment>
    <comment ref="BD238" authorId="0" shapeId="0" xr:uid="{734D0F4C-3365-4AAD-B20E-55D0C1FF2157}">
      <text>
        <r>
          <rPr>
            <b/>
            <sz val="9"/>
            <color indexed="8"/>
            <rFont val="Tahoma"/>
            <family val="2"/>
            <charset val="238"/>
          </rPr>
          <t xml:space="preserve">Zjištění zda je závěs vložený, pak se vyhodí 1 jinak se vyhodí 2
</t>
        </r>
      </text>
    </comment>
    <comment ref="BD292" authorId="0" shapeId="0" xr:uid="{6471044D-7CCE-48D3-BB67-97C84E6F1E99}">
      <text>
        <r>
          <rPr>
            <b/>
            <sz val="9"/>
            <color indexed="8"/>
            <rFont val="Tahoma"/>
            <family val="2"/>
            <charset val="238"/>
          </rPr>
          <t xml:space="preserve">Zjištění zda je závěs vložený, pak se vyhodí 1 jinak se vyhodí 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Q5" authorId="0" shapeId="0" xr:uid="{66B0332E-D30A-4CD4-8685-78A141D3358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R5" authorId="0" shapeId="0" xr:uid="{672260B2-AF19-4380-BDC6-607FD625369B}">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sharedStrings.xml><?xml version="1.0" encoding="utf-8"?>
<sst xmlns="http://schemas.openxmlformats.org/spreadsheetml/2006/main" count="36251" uniqueCount="4355">
  <si>
    <t>1.</t>
  </si>
  <si>
    <t>2.</t>
  </si>
  <si>
    <t>3.</t>
  </si>
  <si>
    <t>4.</t>
  </si>
  <si>
    <t>5.</t>
  </si>
  <si>
    <t>6.</t>
  </si>
  <si>
    <t>Konstanta</t>
  </si>
  <si>
    <t>panty FGV</t>
  </si>
  <si>
    <t>podlož. doporučená</t>
  </si>
  <si>
    <t>panty Blum</t>
  </si>
  <si>
    <t>45° clip</t>
  </si>
  <si>
    <t>profily BRW1,BRW2,BRW3,BRW4,VERONA1,VERONA2,ROCCA 1,ROCCA 2</t>
  </si>
  <si>
    <t>profil SIENA1,MODENA1,AMBRA1,PALIO1,PISA1,IMOLA1</t>
  </si>
  <si>
    <t>FGV</t>
  </si>
  <si>
    <t>BLUM</t>
  </si>
  <si>
    <t xml:space="preserve">  °</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</si>
  <si>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</si>
  <si>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</si>
  <si>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</si>
  <si>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</si>
  <si>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</si>
  <si>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</si>
  <si>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</si>
  <si>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</si>
  <si>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</si>
  <si>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</si>
  <si>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</si>
  <si>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</si>
  <si>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</si>
  <si>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</si>
  <si>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</si>
  <si>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</si>
  <si>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</si>
  <si>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</si>
  <si>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</si>
  <si>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</si>
  <si>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</si>
  <si>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</si>
  <si>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</si>
  <si>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</si>
  <si>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</si>
  <si>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</si>
  <si>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</si>
  <si>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</si>
  <si>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</si>
  <si>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</si>
  <si>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</si>
  <si>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</si>
  <si>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</si>
  <si>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</si>
  <si>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</si>
  <si>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</si>
  <si>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</si>
  <si>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</si>
  <si>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</si>
  <si>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</si>
  <si>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</si>
  <si>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</si>
  <si>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</si>
  <si>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</si>
  <si>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</si>
  <si>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</si>
  <si>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</si>
  <si>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</si>
  <si>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</si>
  <si>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</si>
  <si>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</si>
  <si>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</si>
  <si>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</si>
  <si>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</si>
  <si>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</si>
  <si>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</si>
  <si>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</si>
  <si>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</si>
  <si>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</si>
  <si>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</si>
  <si>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</si>
  <si>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</si>
  <si>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</si>
  <si>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</si>
  <si>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</si>
  <si>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</si>
  <si>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</si>
  <si>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</si>
  <si>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</si>
  <si>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Úzký ALU</t>
  </si>
  <si>
    <t>Široký ALU</t>
  </si>
  <si>
    <t>Cena za bm profilu</t>
  </si>
  <si>
    <t>Cena prof/rámeček</t>
  </si>
  <si>
    <t>Cena profil celk.</t>
  </si>
  <si>
    <t>Konst. Celk.</t>
  </si>
  <si>
    <t>skla/m2</t>
  </si>
  <si>
    <t>Sklo celk.</t>
  </si>
  <si>
    <t>Sklo/rám.</t>
  </si>
  <si>
    <t>Cena za kompletní objednávku</t>
  </si>
  <si>
    <t>Typ kování</t>
  </si>
  <si>
    <t>Použité kování</t>
  </si>
  <si>
    <t>Spodní dvířko</t>
  </si>
  <si>
    <t>Horní dvířko</t>
  </si>
  <si>
    <t>Příplatek</t>
  </si>
  <si>
    <t>HF</t>
  </si>
  <si>
    <t>HK, HS,HL</t>
  </si>
  <si>
    <t>HKS</t>
  </si>
  <si>
    <t>AVENTOS HF</t>
  </si>
  <si>
    <t>AVENTOS HKS</t>
  </si>
  <si>
    <t>AVENTOS HL</t>
  </si>
  <si>
    <t>AVENTOS HS</t>
  </si>
  <si>
    <t>Příplatky úzký</t>
  </si>
  <si>
    <t>Příplatek široký</t>
  </si>
  <si>
    <t>Příplatek celk.</t>
  </si>
  <si>
    <t>STRONG</t>
  </si>
  <si>
    <t>panty Strong</t>
  </si>
  <si>
    <t>panty Strong s tlumením</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</si>
  <si>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</si>
  <si>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</si>
  <si>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</si>
  <si>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</si>
  <si>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</si>
  <si>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</si>
  <si>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</si>
  <si>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</si>
  <si>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</si>
  <si>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</si>
  <si>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</si>
  <si>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</si>
  <si>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</si>
  <si>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</si>
  <si>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</si>
  <si>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</si>
  <si>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</si>
  <si>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</si>
  <si>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</si>
  <si>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</si>
  <si>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</si>
  <si>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</si>
  <si>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</si>
  <si>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</si>
  <si>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</si>
  <si>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</si>
  <si>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</si>
  <si>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</si>
  <si>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</si>
  <si>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</si>
  <si>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</si>
  <si>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</si>
  <si>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</si>
  <si>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</si>
  <si>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</si>
  <si>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</si>
  <si>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</si>
  <si>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</si>
  <si>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</si>
  <si>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</si>
  <si>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</si>
  <si>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</si>
  <si>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</si>
  <si>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</si>
  <si>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</si>
  <si>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</si>
  <si>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</si>
  <si>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</si>
  <si>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</si>
  <si>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</si>
  <si>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</si>
  <si>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</si>
  <si>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</si>
  <si>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</si>
  <si>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</si>
  <si>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</si>
  <si>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</si>
  <si>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</si>
  <si>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</si>
  <si>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</si>
  <si>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</si>
  <si>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</si>
  <si>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</si>
  <si>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</si>
  <si>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</si>
  <si>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</si>
  <si>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</si>
  <si>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</si>
  <si>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</si>
  <si>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</si>
  <si>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</si>
  <si>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</si>
  <si>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</si>
  <si>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</si>
  <si>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</si>
  <si>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</si>
  <si>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</si>
  <si>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</si>
  <si>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</si>
  <si>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</si>
  <si>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</si>
  <si>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</si>
  <si>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</si>
  <si>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</si>
  <si>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</si>
  <si>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</si>
  <si>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</si>
  <si>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</si>
  <si>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</si>
  <si>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</si>
  <si>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</si>
  <si>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</si>
  <si>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</si>
  <si>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</si>
  <si>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</si>
  <si>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</si>
  <si>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</si>
  <si>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</si>
  <si>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</si>
  <si>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</si>
  <si>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</si>
  <si>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</si>
  <si>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</si>
  <si>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</si>
  <si>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</si>
  <si>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</si>
  <si>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</si>
  <si>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Cena za pant</t>
  </si>
  <si>
    <t>FGV-NALOŽENÝ NA VRUT 51MS150500C</t>
  </si>
  <si>
    <t>Výrobce závěsů</t>
  </si>
  <si>
    <t>Typ závěsů</t>
  </si>
  <si>
    <t>Typ Aventosu</t>
  </si>
  <si>
    <t>Typ podložky</t>
  </si>
  <si>
    <t>Cena za podložku</t>
  </si>
  <si>
    <t>Cena celkem za pant/podl.</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</si>
  <si>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</si>
  <si>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</si>
  <si>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</si>
  <si>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</si>
  <si>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</si>
  <si>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</si>
  <si>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</si>
  <si>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</si>
  <si>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</si>
  <si>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</si>
  <si>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</si>
  <si>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</si>
  <si>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</si>
  <si>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</si>
  <si>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</si>
  <si>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</si>
  <si>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</si>
  <si>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</si>
  <si>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</si>
  <si>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</si>
  <si>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</si>
  <si>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</si>
  <si>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</si>
  <si>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</si>
  <si>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</si>
  <si>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</si>
  <si>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</si>
  <si>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</si>
  <si>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</si>
  <si>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</si>
  <si>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</si>
  <si>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</si>
  <si>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</si>
  <si>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</si>
  <si>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</si>
  <si>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</si>
  <si>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</si>
  <si>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</si>
  <si>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</si>
  <si>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</si>
  <si>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</si>
  <si>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</si>
  <si>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</si>
  <si>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</si>
  <si>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</si>
  <si>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</si>
  <si>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</si>
  <si>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</si>
  <si>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</si>
  <si>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</si>
  <si>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</si>
  <si>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</si>
  <si>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</si>
  <si>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</si>
  <si>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</si>
  <si>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</si>
  <si>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</si>
  <si>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</si>
  <si>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</si>
  <si>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</si>
  <si>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</si>
  <si>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</si>
  <si>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</si>
  <si>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</si>
  <si>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</si>
  <si>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</si>
  <si>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</si>
  <si>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</si>
  <si>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</si>
  <si>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</si>
  <si>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</si>
  <si>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</si>
  <si>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</si>
  <si>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</si>
  <si>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</si>
  <si>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</si>
  <si>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</si>
  <si>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</si>
  <si>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</si>
  <si>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</si>
  <si>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</si>
  <si>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</si>
  <si>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</si>
  <si>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</si>
  <si>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</si>
  <si>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</si>
  <si>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</si>
  <si>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</si>
  <si>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</si>
  <si>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</si>
  <si>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</si>
  <si>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</si>
  <si>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</si>
  <si>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</si>
  <si>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</si>
  <si>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</si>
  <si>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</si>
  <si>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</si>
  <si>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</si>
  <si>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</si>
  <si>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</si>
  <si>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</si>
  <si>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</si>
  <si>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</si>
  <si>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</si>
  <si>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</si>
  <si>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</si>
  <si>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</si>
  <si>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</si>
  <si>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</si>
  <si>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</si>
  <si>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</si>
  <si>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</si>
  <si>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</si>
  <si>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</si>
  <si>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</si>
  <si>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</si>
  <si>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</si>
  <si>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</si>
  <si>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</si>
  <si>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</si>
  <si>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</si>
  <si>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</si>
  <si>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</si>
  <si>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</si>
  <si>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</si>
  <si>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</si>
  <si>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</si>
  <si>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</si>
  <si>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</si>
  <si>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</si>
  <si>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</si>
  <si>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</si>
  <si>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</si>
  <si>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</si>
  <si>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</si>
  <si>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</si>
  <si>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</si>
  <si>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</si>
  <si>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</si>
  <si>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</si>
  <si>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</si>
  <si>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</si>
  <si>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Cena píst komplet</t>
  </si>
  <si>
    <t>Provedení druhého dvířka</t>
  </si>
  <si>
    <t>Počet závěsu na 1 rámeček</t>
  </si>
  <si>
    <t>Vzdálenost závěsu od kraje</t>
  </si>
  <si>
    <t>Vyplňte pouze pokud nebude vrtání symetricky na střed</t>
  </si>
  <si>
    <t>Objednávkový formulář ALU rámečků</t>
  </si>
  <si>
    <t>rámeček</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</si>
  <si>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</si>
  <si>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</si>
  <si>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</si>
  <si>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</si>
  <si>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</si>
  <si>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</si>
  <si>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</si>
  <si>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</si>
  <si>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</si>
  <si>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</si>
  <si>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</si>
  <si>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</si>
  <si>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</si>
  <si>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</si>
  <si>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</si>
  <si>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</si>
  <si>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</si>
  <si>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</si>
  <si>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</si>
  <si>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</si>
  <si>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</si>
  <si>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</si>
  <si>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</si>
  <si>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</si>
  <si>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</si>
  <si>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</si>
  <si>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</si>
  <si>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</si>
  <si>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</si>
  <si>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</si>
  <si>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</si>
  <si>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</si>
  <si>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</si>
  <si>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</si>
  <si>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</si>
  <si>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</si>
  <si>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rámček</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</si>
  <si>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</si>
  <si>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</si>
  <si>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</si>
  <si>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</si>
  <si>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</si>
  <si>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</si>
  <si>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</si>
  <si>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</si>
  <si>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</si>
  <si>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</si>
  <si>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</si>
  <si>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</si>
  <si>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</si>
  <si>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</si>
  <si>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</si>
  <si>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</si>
  <si>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</si>
  <si>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</si>
  <si>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</si>
  <si>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</si>
  <si>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</si>
  <si>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</si>
  <si>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</si>
  <si>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</si>
  <si>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</si>
  <si>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</si>
  <si>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</si>
  <si>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</si>
  <si>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</si>
  <si>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</si>
  <si>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</si>
  <si>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</si>
  <si>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</si>
  <si>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</si>
  <si>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</si>
  <si>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</si>
  <si>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</si>
  <si>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</si>
  <si>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</si>
  <si>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</si>
  <si>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</si>
  <si>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</si>
  <si>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</si>
  <si>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</si>
  <si>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</si>
  <si>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</si>
  <si>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</si>
  <si>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</si>
  <si>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</si>
  <si>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</si>
  <si>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</si>
  <si>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</si>
  <si>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</si>
  <si>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</si>
  <si>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</si>
  <si>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</si>
  <si>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</si>
  <si>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</si>
  <si>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</si>
  <si>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</si>
  <si>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</si>
  <si>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</si>
  <si>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</si>
  <si>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</si>
  <si>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</si>
  <si>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</si>
  <si>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</si>
  <si>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</si>
  <si>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</si>
  <si>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</si>
  <si>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</si>
  <si>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</si>
  <si>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</si>
  <si>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</si>
  <si>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</si>
  <si>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</si>
  <si>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</si>
  <si>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</si>
  <si>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</si>
  <si>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</si>
  <si>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</si>
  <si>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</si>
  <si>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</si>
  <si>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</si>
  <si>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</si>
  <si>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</si>
  <si>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</si>
  <si>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</si>
  <si>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</si>
  <si>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</si>
  <si>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</si>
  <si>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</si>
  <si>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</si>
  <si>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</si>
  <si>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</si>
  <si>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</si>
  <si>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</si>
  <si>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</si>
  <si>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</si>
  <si>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</si>
  <si>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</si>
  <si>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</si>
  <si>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</si>
  <si>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</si>
  <si>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</si>
  <si>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</si>
  <si>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</si>
  <si>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</si>
  <si>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</si>
  <si>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</si>
  <si>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</si>
  <si>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</si>
  <si>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</si>
  <si>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</si>
  <si>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</si>
  <si>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</si>
  <si>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</si>
  <si>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</si>
  <si>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</si>
  <si>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</si>
  <si>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</si>
  <si>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</si>
  <si>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</si>
  <si>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</si>
  <si>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</si>
  <si>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</si>
  <si>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</si>
  <si>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</si>
  <si>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</si>
  <si>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</si>
  <si>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</si>
  <si>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</si>
  <si>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</si>
  <si>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</si>
  <si>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</si>
  <si>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</si>
  <si>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</si>
  <si>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</si>
  <si>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</si>
  <si>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</si>
  <si>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</si>
  <si>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</si>
  <si>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</si>
  <si>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</si>
  <si>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</si>
  <si>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</si>
  <si>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</si>
  <si>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</si>
  <si>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</si>
  <si>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</si>
  <si>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</si>
  <si>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</si>
  <si>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</si>
  <si>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</si>
  <si>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</si>
  <si>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</si>
  <si>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</si>
  <si>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</si>
  <si>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</si>
  <si>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</si>
  <si>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</si>
  <si>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</si>
  <si>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</si>
  <si>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</si>
  <si>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</si>
  <si>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</si>
  <si>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</si>
  <si>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</si>
  <si>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</si>
  <si>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</si>
  <si>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</si>
  <si>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</si>
  <si>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</si>
  <si>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</si>
  <si>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</si>
  <si>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</si>
  <si>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</si>
  <si>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</si>
  <si>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</si>
  <si>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</si>
  <si>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</si>
  <si>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</si>
  <si>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</si>
  <si>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</si>
  <si>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</si>
  <si>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</si>
  <si>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</si>
  <si>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</si>
  <si>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</si>
  <si>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</si>
  <si>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</si>
  <si>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</si>
  <si>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</si>
  <si>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</si>
  <si>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</si>
  <si>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</si>
  <si>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</si>
  <si>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</si>
  <si>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</si>
  <si>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</si>
  <si>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</si>
  <si>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</si>
  <si>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</si>
  <si>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</si>
  <si>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</si>
  <si>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</si>
  <si>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</si>
  <si>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</si>
  <si>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</si>
  <si>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</si>
  <si>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</si>
  <si>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</si>
  <si>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</si>
  <si>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</si>
  <si>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</si>
  <si>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</si>
  <si>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</si>
  <si>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</si>
  <si>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</si>
  <si>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</si>
  <si>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</si>
  <si>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</si>
  <si>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</si>
  <si>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</si>
  <si>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</si>
  <si>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</si>
  <si>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</si>
  <si>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</si>
  <si>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</si>
  <si>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</si>
  <si>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</si>
  <si>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</si>
  <si>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</si>
  <si>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</si>
  <si>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</si>
  <si>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</si>
  <si>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</si>
  <si>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</si>
  <si>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</si>
  <si>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</si>
  <si>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</si>
  <si>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</si>
  <si>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</si>
  <si>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</si>
  <si>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</si>
  <si>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</si>
  <si>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</si>
  <si>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</si>
  <si>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</si>
  <si>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</si>
  <si>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</si>
  <si>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</si>
  <si>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</si>
  <si>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</si>
  <si>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</si>
  <si>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</si>
  <si>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</si>
  <si>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</si>
  <si>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</si>
  <si>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</si>
  <si>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</si>
  <si>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Vzor</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</si>
  <si>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</si>
  <si>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</si>
  <si>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</si>
  <si>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</si>
  <si>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</si>
  <si>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</si>
  <si>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</si>
  <si>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</si>
  <si>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</si>
  <si>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</si>
  <si>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</si>
  <si>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</si>
  <si>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</si>
  <si>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</si>
  <si>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</si>
  <si>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</si>
  <si>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</si>
  <si>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</si>
  <si>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</si>
  <si>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</si>
  <si>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</si>
  <si>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</si>
  <si>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</si>
  <si>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</si>
  <si>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</si>
  <si>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</si>
  <si>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</si>
  <si>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</si>
  <si>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</si>
  <si>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</si>
  <si>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</si>
  <si>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Ambra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</si>
  <si>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</si>
  <si>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</si>
  <si>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</si>
  <si>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</si>
  <si>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</si>
  <si>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</si>
  <si>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</si>
  <si>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</si>
  <si>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</si>
  <si>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</si>
  <si>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</si>
  <si>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</si>
  <si>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</si>
  <si>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</si>
  <si>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</si>
  <si>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</si>
  <si>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</si>
  <si>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</si>
  <si>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</si>
  <si>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</si>
  <si>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</si>
  <si>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</si>
  <si>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</si>
  <si>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</si>
  <si>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</si>
  <si>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</si>
  <si>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</si>
  <si>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</si>
  <si>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</si>
  <si>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</si>
  <si>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</si>
  <si>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</si>
  <si>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</si>
  <si>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</si>
  <si>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</si>
  <si>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</si>
  <si>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</si>
  <si>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</si>
  <si>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</si>
  <si>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</si>
  <si>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</si>
  <si>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</si>
  <si>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</si>
  <si>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</si>
  <si>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</si>
  <si>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</si>
  <si>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</si>
  <si>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</si>
  <si>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</si>
  <si>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</si>
  <si>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</si>
  <si>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</si>
  <si>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</si>
  <si>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</si>
  <si>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</si>
  <si>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</si>
  <si>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</si>
  <si>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</si>
  <si>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</si>
  <si>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</si>
  <si>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</si>
  <si>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</si>
  <si>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</si>
  <si>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</si>
  <si>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</si>
  <si>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</si>
  <si>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</si>
  <si>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</si>
  <si>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</si>
  <si>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</si>
  <si>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</si>
  <si>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</si>
  <si>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</si>
  <si>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</si>
  <si>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</si>
  <si>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</si>
  <si>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</si>
  <si>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</si>
  <si>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</si>
  <si>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</si>
  <si>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</si>
  <si>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</si>
  <si>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</si>
  <si>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</si>
  <si>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</si>
  <si>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</si>
  <si>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</si>
  <si>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</si>
  <si>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</si>
  <si>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</si>
  <si>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</si>
  <si>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</si>
  <si>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</si>
  <si>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</si>
  <si>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</si>
  <si>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</si>
  <si>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</si>
  <si>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</si>
  <si>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</si>
  <si>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</si>
  <si>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</si>
  <si>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</si>
  <si>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</si>
  <si>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</si>
  <si>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</si>
  <si>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</si>
  <si>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</si>
  <si>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</si>
  <si>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</si>
  <si>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</si>
  <si>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www.demos-trade.com</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</si>
  <si>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</si>
  <si>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</si>
  <si>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</si>
  <si>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</si>
  <si>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</si>
  <si>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</si>
  <si>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</si>
  <si>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</si>
  <si>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</si>
  <si>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</si>
  <si>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</si>
  <si>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</si>
  <si>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</si>
  <si>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</si>
  <si>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</si>
  <si>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</si>
  <si>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</si>
  <si>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</si>
  <si>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</si>
  <si>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</si>
  <si>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</si>
  <si>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</si>
  <si>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 xml:space="preserve">Jedno vedeníí 3m </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</si>
  <si>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</si>
  <si>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</si>
  <si>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</si>
  <si>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</si>
  <si>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</si>
  <si>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</si>
  <si>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</si>
  <si>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</si>
  <si>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</si>
  <si>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</si>
  <si>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</si>
  <si>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</si>
  <si>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</si>
  <si>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</si>
  <si>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</si>
  <si>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</si>
  <si>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</si>
  <si>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</si>
  <si>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</si>
  <si>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</si>
  <si>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</si>
  <si>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</si>
  <si>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</si>
  <si>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</si>
  <si>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</si>
  <si>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</si>
  <si>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</si>
  <si>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</si>
  <si>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</si>
  <si>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</si>
  <si>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</si>
  <si>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</si>
  <si>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</si>
  <si>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</si>
  <si>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</si>
  <si>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</si>
  <si>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</si>
  <si>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</si>
  <si>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</si>
  <si>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</si>
  <si>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</si>
  <si>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</si>
  <si>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</si>
  <si>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</si>
  <si>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</si>
  <si>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</si>
  <si>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</si>
  <si>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</si>
  <si>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</si>
  <si>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</si>
  <si>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</si>
  <si>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</si>
  <si>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</si>
  <si>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</si>
  <si>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</si>
  <si>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</si>
  <si>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</si>
  <si>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</si>
  <si>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</si>
  <si>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</si>
  <si>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</si>
  <si>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</si>
  <si>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</si>
  <si>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</si>
  <si>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</si>
  <si>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</si>
  <si>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</si>
  <si>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</si>
  <si>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</si>
  <si>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</si>
  <si>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</si>
  <si>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</si>
  <si>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</si>
  <si>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</si>
  <si>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</si>
  <si>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</si>
  <si>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</si>
  <si>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</si>
  <si>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</si>
  <si>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</si>
  <si>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</si>
  <si>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</si>
  <si>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</si>
  <si>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</si>
  <si>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</si>
  <si>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</si>
  <si>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</si>
  <si>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</si>
  <si>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</si>
  <si>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</si>
  <si>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</si>
  <si>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</si>
  <si>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</si>
  <si>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</si>
  <si>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</si>
  <si>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</si>
  <si>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</si>
  <si>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</si>
  <si>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</si>
  <si>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</si>
  <si>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</si>
  <si>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</si>
  <si>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</si>
  <si>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</si>
  <si>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</si>
  <si>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</si>
  <si>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</si>
  <si>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</si>
  <si>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</si>
  <si>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</si>
  <si>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</si>
  <si>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</si>
  <si>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</si>
  <si>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</si>
  <si>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</si>
  <si>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</si>
  <si>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</si>
  <si>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</si>
  <si>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</si>
  <si>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</si>
  <si>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</si>
  <si>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</si>
  <si>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</si>
  <si>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</si>
  <si>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</si>
  <si>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</si>
  <si>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</si>
  <si>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</si>
  <si>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</si>
  <si>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</si>
  <si>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</si>
  <si>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</si>
  <si>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</si>
  <si>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</si>
  <si>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</si>
  <si>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</si>
  <si>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</si>
  <si>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</si>
  <si>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</si>
  <si>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</si>
  <si>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</si>
  <si>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</si>
  <si>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</si>
  <si>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</si>
  <si>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</si>
  <si>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</si>
  <si>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</si>
  <si>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</si>
  <si>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</si>
  <si>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</si>
  <si>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</si>
  <si>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</si>
  <si>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</si>
  <si>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</si>
  <si>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</si>
  <si>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</si>
  <si>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</si>
  <si>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</si>
  <si>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</si>
  <si>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</si>
  <si>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</si>
  <si>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</si>
  <si>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</si>
  <si>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</si>
  <si>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</si>
  <si>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</si>
  <si>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</si>
  <si>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</si>
  <si>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</si>
  <si>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</si>
  <si>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</si>
  <si>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</si>
  <si>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</si>
  <si>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</si>
  <si>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</si>
  <si>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</si>
  <si>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</si>
  <si>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</si>
  <si>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</si>
  <si>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</si>
  <si>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</si>
  <si>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</si>
  <si>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</si>
  <si>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</si>
  <si>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</si>
  <si>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</si>
  <si>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</si>
  <si>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</si>
  <si>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45° tlumený</t>
  </si>
  <si>
    <t>Sensys příložný tlumený</t>
  </si>
  <si>
    <t>Sensys 165° tlumený</t>
  </si>
  <si>
    <t>Sensys naložený netlumený</t>
  </si>
  <si>
    <t>Sensys 165° netlumený</t>
  </si>
  <si>
    <t>Sensys zalomený netlumený</t>
  </si>
  <si>
    <t>Intermat naložený</t>
  </si>
  <si>
    <t>Intermat naložený 125°</t>
  </si>
  <si>
    <t>Intermat polonaložený</t>
  </si>
  <si>
    <t>Intermat vložený</t>
  </si>
  <si>
    <t>Intermat 20°</t>
  </si>
  <si>
    <t>Intermat 30°</t>
  </si>
  <si>
    <t>Intermat 45°</t>
  </si>
  <si>
    <t>Intermat -30°</t>
  </si>
  <si>
    <t>Intermat -45°</t>
  </si>
  <si>
    <t>Intermat příložný</t>
  </si>
  <si>
    <t>Intermat 165°</t>
  </si>
  <si>
    <t>Intermat zalomený</t>
  </si>
  <si>
    <t>HETTICH ŠIROKY</t>
  </si>
  <si>
    <t>HETTICH ÚZKY</t>
  </si>
  <si>
    <t>HETTICH Závěsy</t>
  </si>
  <si>
    <t>Podlořžka na vrut</t>
  </si>
  <si>
    <t>podložka na Eurovrut</t>
  </si>
  <si>
    <t>podložka na rozpěrnou hmoždinku</t>
  </si>
  <si>
    <t>Umístění ramene</t>
  </si>
  <si>
    <t>AVENTOS HK-XS TIP-ON</t>
  </si>
  <si>
    <t>BLUM Závěsy</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</si>
  <si>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</si>
  <si>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</si>
  <si>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</si>
  <si>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</si>
  <si>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</si>
  <si>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</si>
  <si>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</si>
  <si>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</si>
  <si>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</si>
  <si>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 xml:space="preserve">Vložený clip </t>
  </si>
  <si>
    <t>naložený s tlumením clip 95°</t>
  </si>
  <si>
    <t>polonaložený s tlumením clip 95°</t>
  </si>
  <si>
    <t>vložený s tlumením clip 95°</t>
  </si>
  <si>
    <t>naložený TIP-ON clip 95°</t>
  </si>
  <si>
    <t>naložený TIP-ON clip 120°</t>
  </si>
  <si>
    <t>Sensys naložený bez tlumení</t>
  </si>
  <si>
    <t>Sensys vložený bez tlumení</t>
  </si>
  <si>
    <t>BLUM SIROKY</t>
  </si>
  <si>
    <t>BLUM UZKY</t>
  </si>
  <si>
    <t>podložky BLUM</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</si>
  <si>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</si>
  <si>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</si>
  <si>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</si>
  <si>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</si>
  <si>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</si>
  <si>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</si>
  <si>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</si>
  <si>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</si>
  <si>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</si>
  <si>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</si>
  <si>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</si>
  <si>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</si>
  <si>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</si>
  <si>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</si>
  <si>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</si>
  <si>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</si>
  <si>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</si>
  <si>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</si>
  <si>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</si>
  <si>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</si>
  <si>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</si>
  <si>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</si>
  <si>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</si>
  <si>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</si>
  <si>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</si>
  <si>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</si>
  <si>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</si>
  <si>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</si>
  <si>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</si>
  <si>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</si>
  <si>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</si>
  <si>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</si>
  <si>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</si>
  <si>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</si>
  <si>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</si>
  <si>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</si>
  <si>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</si>
  <si>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</si>
  <si>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</si>
  <si>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</si>
  <si>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</si>
  <si>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</si>
  <si>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</si>
  <si>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</si>
  <si>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</si>
  <si>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</si>
  <si>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</si>
  <si>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</si>
  <si>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</si>
  <si>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</si>
  <si>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</si>
  <si>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</si>
  <si>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</si>
  <si>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</si>
  <si>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</si>
  <si>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</si>
  <si>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</si>
  <si>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</si>
  <si>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</si>
  <si>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</si>
  <si>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</si>
  <si>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</si>
  <si>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</si>
  <si>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</si>
  <si>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</si>
  <si>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</si>
  <si>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</si>
  <si>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</si>
  <si>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</si>
  <si>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</si>
  <si>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</si>
  <si>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</si>
  <si>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</si>
  <si>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</si>
  <si>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</si>
  <si>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</si>
  <si>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</si>
  <si>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</si>
  <si>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</si>
  <si>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</si>
  <si>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</si>
  <si>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</si>
  <si>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</si>
  <si>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</si>
  <si>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RADEK_1_6</t>
  </si>
  <si>
    <t>naložený k nasunutí</t>
  </si>
  <si>
    <t>polonaložený k nasunutí</t>
  </si>
  <si>
    <t>vložený k nasunutí</t>
  </si>
  <si>
    <t>STRONG bez tlumení</t>
  </si>
  <si>
    <t>STRONG s tlumením</t>
  </si>
  <si>
    <t>RADEK_1_5</t>
  </si>
  <si>
    <t>1 . RAMEČEK</t>
  </si>
  <si>
    <t>2 . RAMEČEK</t>
  </si>
  <si>
    <t>3 . RAMEČEK</t>
  </si>
  <si>
    <t>4 . RAMEČEK</t>
  </si>
  <si>
    <t>Podložky 1</t>
  </si>
  <si>
    <t>Podložky 2</t>
  </si>
  <si>
    <t>Podložky 3</t>
  </si>
  <si>
    <t>Podložky 4</t>
  </si>
  <si>
    <t>Podložky 5</t>
  </si>
  <si>
    <t>Podložky 6</t>
  </si>
  <si>
    <t>k nasunutí na vrut H0</t>
  </si>
  <si>
    <t>k nasunutí EURO šroub H0</t>
  </si>
  <si>
    <t>k nasunutí na vrut H2</t>
  </si>
  <si>
    <t>k nasunutí EURO šroub H2</t>
  </si>
  <si>
    <t>92890T</t>
  </si>
  <si>
    <t>Clip vrut s excentrem H0</t>
  </si>
  <si>
    <t>podložka na vrut</t>
  </si>
  <si>
    <t>naložený clip</t>
  </si>
  <si>
    <t>polonaložený clip</t>
  </si>
  <si>
    <t>=SKLO_VYBER_T1</t>
  </si>
  <si>
    <t>=$AF$25:$AF$28</t>
  </si>
  <si>
    <t>=RADEK_1_5</t>
  </si>
  <si>
    <t>=RADEK_1_6</t>
  </si>
  <si>
    <t>Nápověda</t>
  </si>
  <si>
    <t>=T1_PODLOZKA_TYPY</t>
  </si>
  <si>
    <t>=AH34:AH37</t>
  </si>
  <si>
    <t xml:space="preserve">hodnota - </t>
  </si>
  <si>
    <t>=AG50:AG53</t>
  </si>
  <si>
    <t>=T1_VYKLOPY</t>
  </si>
  <si>
    <t>=UMISTENI_VYKLOP</t>
  </si>
  <si>
    <t>=RADEK_2_5</t>
  </si>
  <si>
    <t>=RADEK_2_6</t>
  </si>
  <si>
    <t>=RADEK_3_5</t>
  </si>
  <si>
    <t>=RADEK_3_6</t>
  </si>
  <si>
    <t>=RADEK_4_5</t>
  </si>
  <si>
    <t>=RADEK_4_6</t>
  </si>
  <si>
    <t>=RADEK_5_5</t>
  </si>
  <si>
    <t>=RADEK_5_6</t>
  </si>
  <si>
    <t>=RADEK_6_5</t>
  </si>
  <si>
    <t>=RADEK_6_6</t>
  </si>
  <si>
    <t>=T2_PODLOZKA_TYPY</t>
  </si>
  <si>
    <t>5. RAMEČEK</t>
  </si>
  <si>
    <t>6. RAMEČEK</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</si>
  <si>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</si>
  <si>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</si>
  <si>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</si>
  <si>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</si>
  <si>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</si>
  <si>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</si>
  <si>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</si>
  <si>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</si>
  <si>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</si>
  <si>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</si>
  <si>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</si>
  <si>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</si>
  <si>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</si>
  <si>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</si>
  <si>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</si>
  <si>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</si>
  <si>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</si>
  <si>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</si>
  <si>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</si>
  <si>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</si>
  <si>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</si>
  <si>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</si>
  <si>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</si>
  <si>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</si>
  <si>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</si>
  <si>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</si>
  <si>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</si>
  <si>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</si>
  <si>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</si>
  <si>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</si>
  <si>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</si>
  <si>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</si>
  <si>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</si>
  <si>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</si>
  <si>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</si>
  <si>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</si>
  <si>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</si>
  <si>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</si>
  <si>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</si>
  <si>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</si>
  <si>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</si>
  <si>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</si>
  <si>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</si>
  <si>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</si>
  <si>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</si>
  <si>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</si>
  <si>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</si>
  <si>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</si>
  <si>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</si>
  <si>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</si>
  <si>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</si>
  <si>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</si>
  <si>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</si>
  <si>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</si>
  <si>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</si>
  <si>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</si>
  <si>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</si>
  <si>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</si>
  <si>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</si>
  <si>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</si>
  <si>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</si>
  <si>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</si>
  <si>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</si>
  <si>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</si>
  <si>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</si>
  <si>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</si>
  <si>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</si>
  <si>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</si>
  <si>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</si>
  <si>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</si>
  <si>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</si>
  <si>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</si>
  <si>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</si>
  <si>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</si>
  <si>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</si>
  <si>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</si>
  <si>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</si>
  <si>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</si>
  <si>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</si>
  <si>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</si>
  <si>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</si>
  <si>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</si>
  <si>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</si>
  <si>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</si>
  <si>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</si>
  <si>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</si>
  <si>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</si>
  <si>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</si>
  <si>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</si>
  <si>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</si>
  <si>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</si>
  <si>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</si>
  <si>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</si>
  <si>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</si>
  <si>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</si>
  <si>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</si>
  <si>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</si>
  <si>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</si>
  <si>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</si>
  <si>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</si>
  <si>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</si>
  <si>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</si>
  <si>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</si>
  <si>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</si>
  <si>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</si>
  <si>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</si>
  <si>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</si>
  <si>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</si>
  <si>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</si>
  <si>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</si>
  <si>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</si>
  <si>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</si>
  <si>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</si>
  <si>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</si>
  <si>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</si>
  <si>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</si>
  <si>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</si>
  <si>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</si>
  <si>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</si>
  <si>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</si>
  <si>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</si>
  <si>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</si>
  <si>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</si>
  <si>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</si>
  <si>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</si>
  <si>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</si>
  <si>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</si>
  <si>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</si>
  <si>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</si>
  <si>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</si>
  <si>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</si>
  <si>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</si>
  <si>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</si>
  <si>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</si>
  <si>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</si>
  <si>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</si>
  <si>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</si>
  <si>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</si>
  <si>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</si>
  <si>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</si>
  <si>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</si>
  <si>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</si>
  <si>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</si>
  <si>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</si>
  <si>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</si>
  <si>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</si>
  <si>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</si>
  <si>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</si>
  <si>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</si>
  <si>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</si>
  <si>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</si>
  <si>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</si>
  <si>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</si>
  <si>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</si>
  <si>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</si>
  <si>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</si>
  <si>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</si>
  <si>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</si>
  <si>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</si>
  <si>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</si>
  <si>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typ profilu</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</si>
  <si>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</si>
  <si>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</si>
  <si>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</si>
  <si>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</si>
  <si>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</si>
  <si>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</si>
  <si>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</si>
  <si>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</si>
  <si>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</si>
  <si>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</si>
  <si>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</si>
  <si>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</si>
  <si>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</si>
  <si>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</si>
  <si>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</si>
  <si>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</si>
  <si>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</si>
  <si>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</si>
  <si>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</si>
  <si>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</si>
  <si>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</si>
  <si>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</si>
  <si>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</si>
  <si>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</si>
  <si>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</si>
  <si>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</si>
  <si>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</si>
  <si>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</si>
  <si>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STRONG Plus</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</si>
  <si>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</si>
  <si>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</si>
  <si>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</si>
  <si>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</si>
  <si>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</si>
  <si>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</si>
  <si>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</si>
  <si>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</si>
  <si>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</si>
  <si>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</si>
  <si>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</si>
  <si>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</si>
  <si>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</si>
  <si>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</si>
  <si>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</si>
  <si>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</si>
  <si>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</si>
  <si>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</si>
  <si>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</si>
  <si>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</si>
  <si>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</si>
  <si>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</si>
  <si>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</si>
  <si>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</si>
  <si>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</si>
  <si>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</si>
  <si>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</si>
  <si>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</si>
  <si>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</si>
  <si>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</si>
  <si>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</si>
  <si>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</si>
  <si>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</si>
  <si>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</si>
  <si>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</si>
  <si>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</si>
  <si>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</si>
  <si>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</si>
  <si>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</si>
  <si>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</si>
  <si>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</si>
  <si>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</si>
  <si>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</si>
  <si>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</si>
  <si>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</si>
  <si>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</si>
  <si>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</si>
  <si>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</si>
  <si>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</si>
  <si>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</si>
  <si>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</si>
  <si>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</si>
  <si>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</si>
  <si>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</si>
  <si>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</si>
  <si>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</si>
  <si>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</si>
  <si>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</si>
  <si>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</si>
  <si>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</si>
  <si>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</si>
  <si>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</si>
  <si>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</si>
  <si>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</si>
  <si>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</si>
  <si>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</si>
  <si>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</si>
  <si>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</si>
  <si>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</si>
  <si>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</si>
  <si>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</si>
  <si>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</si>
  <si>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</si>
  <si>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</si>
  <si>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</si>
  <si>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</si>
  <si>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</si>
  <si>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</si>
  <si>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</si>
  <si>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</si>
  <si>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</si>
  <si>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</si>
  <si>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</si>
  <si>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</si>
  <si>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</si>
  <si>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</si>
  <si>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</si>
  <si>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</si>
  <si>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</si>
  <si>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</si>
  <si>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</si>
  <si>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</si>
  <si>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</si>
  <si>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</si>
  <si>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</si>
  <si>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</si>
  <si>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</si>
  <si>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</si>
  <si>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</si>
  <si>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RADEK_2_5</t>
  </si>
  <si>
    <t>RADEK_2_6</t>
  </si>
  <si>
    <t>=T3_PODLOZKA_TYPY</t>
  </si>
  <si>
    <t>=T3_VYKLOPY</t>
  </si>
  <si>
    <t>=T2_VYKLOPY</t>
  </si>
  <si>
    <t>=SKLO_VYBER_T3</t>
  </si>
  <si>
    <t>=SKLO_VYBER_T2</t>
  </si>
  <si>
    <t>RADEK_3_5</t>
  </si>
  <si>
    <t>RADEK_3_6</t>
  </si>
  <si>
    <t>RADEK_4_5</t>
  </si>
  <si>
    <t>RADEK_4_6</t>
  </si>
  <si>
    <t>RADEK_5_5</t>
  </si>
  <si>
    <t>RADEK_5_6</t>
  </si>
  <si>
    <t>RADEK_6_5</t>
  </si>
  <si>
    <t>RADEK_6_6</t>
  </si>
  <si>
    <t>=T5_PODLOZKA_TYPY</t>
  </si>
  <si>
    <t>=T5_VYKLOPY</t>
  </si>
  <si>
    <t>=SKLO_VYBER_T5</t>
  </si>
  <si>
    <t>=SKLO_VYBER_T4</t>
  </si>
  <si>
    <t>=T4_PODLOZKA_TYPY</t>
  </si>
  <si>
    <t>=T4_VYKLOPY</t>
  </si>
  <si>
    <t>=SKLO_VYBER_T6</t>
  </si>
  <si>
    <t>=T6_PODLOZKA_TYPY</t>
  </si>
  <si>
    <t>=T6_VYKLOPY</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</si>
  <si>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</si>
  <si>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</si>
  <si>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</si>
  <si>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</si>
  <si>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</si>
  <si>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</si>
  <si>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</si>
  <si>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</si>
  <si>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</si>
  <si>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</si>
  <si>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</si>
  <si>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</si>
  <si>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</si>
  <si>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</si>
  <si>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</si>
  <si>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</si>
  <si>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</si>
  <si>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</si>
  <si>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</si>
  <si>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</si>
  <si>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</si>
  <si>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</si>
  <si>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</si>
  <si>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</si>
  <si>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</si>
  <si>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</si>
  <si>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</si>
  <si>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</si>
  <si>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</si>
  <si>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</si>
  <si>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</si>
  <si>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</si>
  <si>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</si>
  <si>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</si>
  <si>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</si>
  <si>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</si>
  <si>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</si>
  <si>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</si>
  <si>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</si>
  <si>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</si>
  <si>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</si>
  <si>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</si>
  <si>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</si>
  <si>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</si>
  <si>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</si>
  <si>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</si>
  <si>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</si>
  <si>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</si>
  <si>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</si>
  <si>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</si>
  <si>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</si>
  <si>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</si>
  <si>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</si>
  <si>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</si>
  <si>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</si>
  <si>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</si>
  <si>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</si>
  <si>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</si>
  <si>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</si>
  <si>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</si>
  <si>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</si>
  <si>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</si>
  <si>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</si>
  <si>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</si>
  <si>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</si>
  <si>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</si>
  <si>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</si>
  <si>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</si>
  <si>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</si>
  <si>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</si>
  <si>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</si>
  <si>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</si>
  <si>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</si>
  <si>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</si>
  <si>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</si>
  <si>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</si>
  <si>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</si>
  <si>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</si>
  <si>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</si>
  <si>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</si>
  <si>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</si>
  <si>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</si>
  <si>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</si>
  <si>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</si>
  <si>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</si>
  <si>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</si>
  <si>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</si>
  <si>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</si>
  <si>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</si>
  <si>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</si>
  <si>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</si>
  <si>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</si>
  <si>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</si>
  <si>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</si>
  <si>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</si>
  <si>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</si>
  <si>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</si>
  <si>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</si>
  <si>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</si>
  <si>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</si>
  <si>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</si>
  <si>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</si>
  <si>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</si>
  <si>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</si>
  <si>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</si>
  <si>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</si>
  <si>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</si>
  <si>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</si>
  <si>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</si>
  <si>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</si>
  <si>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</si>
  <si>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</si>
  <si>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</si>
  <si>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</si>
  <si>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</si>
  <si>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</si>
  <si>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</si>
  <si>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</si>
  <si>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</si>
  <si>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</si>
  <si>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==$B$347:$B$390</t>
  </si>
  <si>
    <t>=$B$347:$B$390</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</si>
  <si>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</si>
  <si>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</si>
  <si>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</si>
  <si>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</si>
  <si>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</si>
  <si>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</si>
  <si>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</si>
  <si>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</si>
  <si>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</si>
  <si>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</si>
  <si>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</si>
  <si>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</si>
  <si>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</si>
  <si>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</si>
  <si>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</si>
  <si>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</si>
  <si>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</si>
  <si>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</si>
  <si>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</si>
  <si>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</si>
  <si>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</si>
  <si>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</si>
  <si>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</si>
  <si>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</si>
  <si>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</si>
  <si>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</si>
  <si>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</si>
  <si>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</si>
  <si>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</si>
  <si>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</si>
  <si>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</si>
  <si>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</si>
  <si>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</si>
  <si>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</si>
  <si>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</si>
  <si>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</si>
  <si>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</si>
  <si>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</si>
  <si>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</si>
  <si>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</si>
  <si>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</si>
  <si>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</si>
  <si>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</si>
  <si>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</si>
  <si>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</si>
  <si>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</si>
  <si>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</si>
  <si>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</si>
  <si>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</si>
  <si>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</si>
  <si>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</si>
  <si>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</si>
  <si>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</si>
  <si>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</si>
  <si>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</si>
  <si>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</si>
  <si>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</si>
  <si>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</si>
  <si>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</si>
  <si>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</si>
  <si>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</si>
  <si>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</si>
  <si>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</si>
  <si>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</si>
  <si>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</si>
  <si>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</si>
  <si>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</si>
  <si>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</si>
  <si>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</si>
  <si>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</si>
  <si>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</si>
  <si>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</si>
  <si>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</si>
  <si>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</si>
  <si>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</si>
  <si>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</si>
  <si>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</si>
  <si>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</si>
  <si>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</si>
  <si>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</si>
  <si>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</si>
  <si>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</si>
  <si>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</si>
  <si>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</si>
  <si>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</si>
  <si>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</si>
  <si>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</si>
  <si>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</si>
  <si>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</si>
  <si>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</si>
  <si>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</si>
  <si>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</si>
  <si>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</si>
  <si>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</si>
  <si>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</si>
  <si>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</si>
  <si>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</si>
  <si>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</si>
  <si>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</si>
  <si>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</si>
  <si>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</si>
  <si>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</si>
  <si>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</si>
  <si>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</si>
  <si>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</si>
  <si>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</si>
  <si>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</si>
  <si>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</si>
  <si>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</si>
  <si>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</si>
  <si>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</si>
  <si>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</si>
  <si>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</si>
  <si>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</si>
  <si>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</si>
  <si>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</si>
  <si>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</si>
  <si>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</si>
  <si>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</si>
  <si>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</si>
  <si>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</si>
  <si>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</si>
  <si>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</si>
  <si>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</si>
  <si>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</si>
  <si>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</si>
  <si>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</si>
  <si>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</si>
  <si>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</si>
  <si>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</si>
  <si>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</si>
  <si>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</si>
  <si>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</si>
  <si>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</si>
  <si>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</si>
  <si>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</si>
  <si>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</si>
  <si>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</si>
  <si>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</si>
  <si>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</si>
  <si>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</si>
  <si>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</si>
  <si>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</si>
  <si>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</si>
  <si>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</si>
  <si>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</si>
  <si>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</si>
  <si>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</si>
  <si>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</si>
  <si>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</si>
  <si>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</si>
  <si>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</si>
  <si>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</si>
  <si>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</si>
  <si>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</si>
  <si>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</si>
  <si>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</si>
  <si>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</si>
  <si>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</si>
  <si>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</si>
  <si>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</si>
  <si>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</si>
  <si>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</si>
  <si>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</si>
  <si>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</si>
  <si>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</si>
  <si>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</si>
  <si>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</si>
  <si>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</si>
  <si>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</si>
  <si>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</si>
  <si>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</si>
  <si>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</si>
  <si>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</si>
  <si>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</si>
  <si>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</si>
  <si>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</si>
  <si>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</si>
  <si>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</si>
  <si>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</si>
  <si>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</si>
  <si>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</si>
  <si>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</si>
  <si>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</si>
  <si>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</si>
  <si>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</si>
  <si>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</si>
  <si>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</si>
  <si>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</si>
  <si>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</si>
  <si>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</si>
  <si>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</si>
  <si>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</si>
  <si>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</si>
  <si>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</si>
  <si>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</si>
  <si>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</si>
  <si>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</si>
  <si>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</si>
  <si>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</si>
  <si>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</si>
  <si>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</si>
  <si>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</si>
  <si>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</si>
  <si>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</si>
  <si>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</si>
  <si>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</si>
  <si>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</si>
  <si>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</si>
  <si>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</si>
  <si>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</si>
  <si>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</si>
  <si>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</si>
  <si>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</si>
  <si>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</si>
  <si>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</si>
  <si>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</si>
  <si>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</si>
  <si>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</si>
  <si>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</si>
  <si>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</si>
  <si>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</si>
  <si>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</si>
  <si>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</si>
  <si>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</si>
  <si>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</si>
  <si>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</si>
  <si>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</si>
  <si>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</si>
  <si>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</si>
  <si>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</si>
  <si>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</si>
  <si>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</si>
  <si>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</si>
  <si>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</si>
  <si>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</si>
  <si>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</si>
  <si>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</si>
  <si>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</si>
  <si>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</si>
  <si>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</si>
  <si>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</si>
  <si>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</si>
  <si>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</si>
  <si>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</si>
  <si>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</si>
  <si>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</si>
  <si>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</si>
  <si>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</si>
  <si>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</si>
  <si>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</si>
  <si>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</si>
  <si>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</si>
  <si>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</si>
  <si>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</si>
  <si>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</si>
  <si>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</si>
  <si>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</si>
  <si>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</si>
  <si>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</si>
  <si>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</si>
  <si>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</si>
  <si>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</si>
  <si>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</si>
  <si>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</si>
  <si>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</si>
  <si>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</si>
  <si>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</si>
  <si>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</si>
  <si>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</si>
  <si>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</si>
  <si>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</si>
  <si>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</si>
  <si>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</si>
  <si>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</si>
  <si>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</si>
  <si>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</si>
  <si>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</si>
  <si>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</si>
  <si>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</si>
  <si>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</si>
  <si>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</si>
  <si>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</si>
  <si>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</si>
  <si>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</si>
  <si>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</si>
  <si>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</si>
  <si>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</si>
  <si>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</si>
  <si>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</si>
  <si>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</si>
  <si>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</si>
  <si>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</si>
  <si>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</si>
  <si>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</si>
  <si>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</si>
  <si>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</si>
  <si>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</si>
  <si>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</si>
  <si>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</si>
  <si>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</si>
  <si>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</si>
  <si>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</si>
  <si>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</si>
  <si>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</si>
  <si>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</si>
  <si>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</si>
  <si>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</si>
  <si>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</si>
  <si>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</si>
  <si>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</si>
  <si>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</si>
  <si>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</si>
  <si>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</si>
  <si>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</si>
  <si>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</si>
  <si>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</si>
  <si>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</si>
  <si>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</si>
  <si>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</si>
  <si>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</si>
  <si>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</si>
  <si>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</si>
  <si>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</si>
  <si>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</si>
  <si>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</si>
  <si>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</si>
  <si>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</si>
  <si>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</si>
  <si>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</si>
  <si>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</si>
  <si>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</si>
  <si>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</si>
  <si>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</si>
  <si>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</si>
  <si>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</si>
  <si>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</si>
  <si>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</si>
  <si>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</si>
  <si>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</si>
  <si>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</si>
  <si>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</si>
  <si>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</si>
  <si>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</si>
  <si>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</si>
  <si>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</si>
  <si>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</si>
  <si>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</si>
  <si>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</si>
  <si>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</si>
  <si>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</si>
  <si>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</si>
  <si>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</si>
  <si>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</si>
  <si>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</si>
  <si>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</si>
  <si>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</si>
  <si>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</si>
  <si>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</si>
  <si>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</si>
  <si>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</si>
  <si>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</si>
  <si>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</si>
  <si>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</si>
  <si>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</si>
  <si>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</si>
  <si>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</si>
  <si>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</si>
  <si>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</si>
  <si>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</si>
  <si>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</si>
  <si>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</si>
  <si>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</si>
  <si>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</si>
  <si>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</si>
  <si>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</si>
  <si>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</si>
  <si>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</si>
  <si>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</si>
  <si>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</si>
  <si>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</si>
  <si>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</si>
  <si>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</si>
  <si>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</si>
  <si>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</si>
  <si>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</si>
  <si>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</si>
  <si>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</si>
  <si>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</si>
  <si>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</si>
  <si>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</si>
  <si>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</si>
  <si>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Palio černá mat</t>
  </si>
  <si>
    <t>LiftMini</t>
  </si>
  <si>
    <t>Siena černá mat</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</si>
  <si>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</si>
  <si>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</si>
  <si>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</si>
  <si>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</si>
  <si>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</si>
  <si>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</si>
  <si>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</si>
  <si>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</si>
  <si>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</si>
  <si>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</si>
  <si>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</si>
  <si>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</si>
  <si>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</si>
  <si>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</si>
  <si>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</si>
  <si>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</si>
  <si>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</si>
  <si>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</si>
  <si>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</si>
  <si>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</si>
  <si>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</si>
  <si>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</si>
  <si>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</si>
  <si>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</si>
  <si>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</si>
  <si>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</si>
  <si>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</si>
  <si>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</si>
  <si>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</si>
  <si>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</si>
  <si>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</si>
  <si>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</si>
  <si>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</si>
  <si>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</si>
  <si>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</si>
  <si>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</si>
  <si>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</si>
  <si>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</si>
  <si>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</si>
  <si>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</si>
  <si>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</si>
  <si>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</si>
  <si>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</si>
  <si>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</si>
  <si>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</si>
  <si>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</si>
  <si>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</si>
  <si>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</si>
  <si>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</si>
  <si>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</si>
  <si>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</si>
  <si>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</si>
  <si>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</si>
  <si>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</si>
  <si>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</si>
  <si>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</si>
  <si>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</si>
  <si>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</si>
  <si>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</si>
  <si>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</si>
  <si>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</si>
  <si>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</si>
  <si>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</si>
  <si>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</si>
  <si>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</si>
  <si>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</si>
  <si>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</si>
  <si>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</si>
  <si>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</si>
  <si>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</si>
  <si>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</si>
  <si>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</si>
  <si>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</si>
  <si>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</si>
  <si>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</si>
  <si>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</si>
  <si>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</si>
  <si>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</si>
  <si>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</si>
  <si>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</si>
  <si>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</si>
  <si>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</si>
  <si>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</si>
  <si>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</si>
  <si>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</si>
  <si>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</si>
  <si>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</si>
  <si>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</si>
  <si>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</si>
  <si>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</si>
  <si>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</si>
  <si>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</si>
  <si>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</si>
  <si>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</si>
  <si>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</si>
  <si>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</si>
  <si>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</si>
  <si>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</si>
  <si>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</si>
  <si>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</si>
  <si>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</si>
  <si>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</si>
  <si>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</si>
  <si>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</si>
  <si>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</si>
  <si>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</si>
  <si>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</si>
  <si>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</si>
  <si>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</si>
  <si>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</si>
  <si>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</si>
  <si>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</si>
  <si>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</si>
  <si>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</si>
  <si>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</si>
  <si>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</si>
  <si>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</si>
  <si>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</si>
  <si>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</si>
  <si>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</si>
  <si>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</si>
  <si>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</si>
  <si>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</si>
  <si>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</si>
  <si>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</si>
  <si>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</si>
  <si>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</si>
  <si>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</si>
  <si>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</si>
  <si>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STRONG PLUS</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</si>
  <si>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</si>
  <si>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</si>
  <si>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</si>
  <si>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</si>
  <si>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</si>
  <si>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</si>
  <si>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</si>
  <si>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</si>
  <si>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</si>
  <si>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</si>
  <si>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</si>
  <si>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</si>
  <si>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</si>
  <si>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</si>
  <si>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</si>
  <si>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</si>
  <si>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</si>
  <si>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</si>
  <si>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</si>
  <si>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</si>
  <si>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</si>
  <si>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</si>
  <si>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</si>
  <si>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</si>
  <si>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</si>
  <si>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</si>
  <si>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</si>
  <si>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</si>
  <si>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</si>
  <si>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</si>
  <si>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</si>
  <si>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</si>
  <si>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</si>
  <si>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</si>
  <si>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</si>
  <si>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</si>
  <si>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</si>
  <si>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</si>
  <si>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</si>
  <si>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</si>
  <si>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</si>
  <si>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</si>
  <si>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</si>
  <si>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</si>
  <si>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</si>
  <si>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</si>
  <si>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</si>
  <si>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</si>
  <si>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</si>
  <si>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</si>
  <si>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</si>
  <si>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Palio čierna matt</t>
  </si>
  <si>
    <t>Palio fekete matt</t>
  </si>
  <si>
    <t>Siena čierna mat</t>
  </si>
  <si>
    <t>Siena fekete matt</t>
  </si>
  <si>
    <t>Warna (lewa i prawa) + Siena (góra i dół)</t>
  </si>
  <si>
    <t>Siena (lewa i prawa) + Warna (góra i dół)</t>
  </si>
  <si>
    <t>Warna (lewa i prawa) + Palio (góra i dół)</t>
  </si>
  <si>
    <t>Palio (lewy i prawy) + Warna (góra i dół)</t>
  </si>
  <si>
    <t>Warna (lewa i prawa) + Rocca (góra i dół)</t>
  </si>
  <si>
    <t>Rocca (lewa i prawa) + Varna (góra i dół)</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</si>
  <si>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</si>
  <si>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</si>
  <si>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</si>
  <si>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</si>
  <si>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</si>
  <si>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</si>
  <si>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</si>
  <si>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</si>
  <si>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</si>
  <si>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</si>
  <si>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</si>
  <si>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</si>
  <si>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</si>
  <si>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</si>
  <si>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</si>
  <si>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</si>
  <si>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</si>
  <si>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</si>
  <si>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</si>
  <si>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</si>
  <si>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</si>
  <si>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</si>
  <si>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</si>
  <si>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</si>
  <si>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</si>
  <si>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</si>
  <si>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</si>
  <si>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</si>
  <si>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</si>
  <si>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</si>
  <si>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</si>
  <si>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</si>
  <si>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</si>
  <si>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</si>
  <si>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</si>
  <si>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</si>
  <si>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</si>
  <si>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</si>
  <si>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</si>
  <si>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</si>
  <si>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</si>
  <si>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</si>
  <si>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</si>
  <si>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</si>
  <si>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</si>
  <si>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horizontálne</t>
  </si>
  <si>
    <t>vertikálne</t>
  </si>
  <si>
    <t>Horizontálne aj Vertikálne</t>
  </si>
  <si>
    <t>Poziomo</t>
  </si>
  <si>
    <t>Pionowo</t>
  </si>
  <si>
    <t>Poziomo i pionowo</t>
  </si>
  <si>
    <t>Vízszintesen</t>
  </si>
  <si>
    <t>Függőlegesen</t>
  </si>
  <si>
    <t>Vízszintesen és függőlegesen</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</si>
  <si>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</si>
  <si>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</si>
  <si>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</si>
  <si>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</si>
  <si>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</si>
  <si>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</si>
  <si>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</si>
  <si>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</si>
  <si>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</si>
  <si>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</si>
  <si>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</si>
  <si>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</si>
  <si>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</si>
  <si>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</si>
  <si>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</si>
  <si>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</si>
  <si>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</si>
  <si>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</si>
  <si>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</si>
  <si>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</si>
  <si>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</si>
  <si>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</si>
  <si>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</si>
  <si>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</si>
  <si>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</si>
  <si>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</si>
  <si>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</si>
  <si>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</si>
  <si>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</si>
  <si>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</si>
  <si>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</si>
  <si>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</si>
  <si>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</si>
  <si>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</si>
  <si>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</si>
  <si>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</si>
  <si>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</si>
  <si>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</si>
  <si>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</si>
  <si>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</si>
  <si>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</si>
  <si>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</si>
  <si>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</si>
  <si>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</si>
  <si>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</si>
  <si>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</si>
  <si>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</si>
  <si>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</si>
  <si>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</si>
  <si>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Pohled na předěly je jen ilustrativní a nezobrazuje zvolený počet ks. předělů horizontálně / vertikálně.</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</si>
  <si>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</si>
  <si>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</si>
  <si>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</si>
  <si>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Upozornění</t>
  </si>
  <si>
    <t>Upozornenie</t>
  </si>
  <si>
    <t>Értesítés</t>
  </si>
  <si>
    <t>Ogłoszenie</t>
  </si>
  <si>
    <t>Varna černá (Vlevo a Vpravo) + Siena černá (Nahoře a dole)</t>
  </si>
  <si>
    <t>Siena černá (Vlevo a vpravo) + Varna černá (Nahoře a dole)</t>
  </si>
  <si>
    <t>Varna čierna (Vľavo a Vpravo) + Siena čierna (Hore a dole)</t>
  </si>
  <si>
    <t>Siena čierna (Vľavo a vpravo) + Varna čierna (Hore a dole)</t>
  </si>
  <si>
    <t>Warna czarny (lewa i prawa) + Siena czarny (góra i dół)</t>
  </si>
  <si>
    <t>Siena czarny (lewa i prawa) + Warna czarny (góra i dół)</t>
  </si>
  <si>
    <t>Várna fekete (bal és jobb) + Siena fekete (fent és alul)</t>
  </si>
  <si>
    <t>Siena fekete (bal és jobb) + Várna fekete (felső és alsó)</t>
  </si>
  <si>
    <t>Warna</t>
  </si>
  <si>
    <t>Várna</t>
  </si>
  <si>
    <t>Rocca čierna</t>
  </si>
  <si>
    <t>Rocca czarny</t>
  </si>
  <si>
    <t>Rocca fekete</t>
  </si>
  <si>
    <t>Varna černá</t>
  </si>
  <si>
    <t>Varna čierna</t>
  </si>
  <si>
    <t>Warna czarny</t>
  </si>
  <si>
    <t>Várna fekete</t>
  </si>
  <si>
    <t>Varna černá (Vlevo a Vpravo) + Rocca černá (Nahoře a dole)</t>
  </si>
  <si>
    <t>Rocca černá (Vlevo a vpravo) + Varna černá (Nahoře a dole)</t>
  </si>
  <si>
    <t>Varna čierna (Vľavo a Vpravo) + Rocca čierna (Hore a dole)</t>
  </si>
  <si>
    <t>Rocca čierna (Vľavo a vpravo) + Varna čierna (Hore a dole)</t>
  </si>
  <si>
    <t>Warna czarny (lewa i prawa) + Rocca czarny (góra i dół)</t>
  </si>
  <si>
    <t>Rocca czarny (lewa i prawa) + Varna czarny (góra i dół)</t>
  </si>
  <si>
    <t>Várna fekete (bal és jobb) + Rocca fekete (felső és alsó)</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</si>
  <si>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</si>
  <si>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</si>
  <si>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</si>
  <si>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</si>
  <si>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</si>
  <si>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</si>
  <si>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</si>
  <si>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</si>
  <si>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</si>
  <si>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</si>
  <si>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</si>
  <si>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</si>
  <si>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</si>
  <si>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</si>
  <si>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</si>
  <si>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</si>
  <si>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</si>
  <si>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</si>
  <si>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</si>
  <si>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</si>
  <si>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</si>
  <si>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</si>
  <si>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</si>
  <si>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</si>
  <si>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</si>
  <si>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</si>
  <si>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</si>
  <si>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</si>
  <si>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</si>
  <si>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</si>
  <si>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</si>
  <si>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</si>
  <si>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</si>
  <si>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</si>
  <si>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</si>
  <si>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</si>
  <si>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</si>
  <si>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</si>
  <si>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</si>
  <si>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</si>
  <si>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</si>
  <si>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</si>
  <si>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</si>
  <si>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</si>
  <si>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</si>
  <si>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</si>
  <si>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</si>
  <si>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</si>
  <si>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</si>
  <si>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</si>
  <si>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</si>
  <si>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</si>
  <si>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</si>
  <si>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</si>
  <si>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</si>
  <si>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</si>
  <si>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</si>
  <si>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</si>
  <si>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</si>
  <si>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</si>
  <si>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</si>
  <si>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</si>
  <si>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</si>
  <si>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</si>
  <si>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BRW bialy matowy</t>
  </si>
  <si>
    <t>BRW bialy połysk</t>
  </si>
  <si>
    <t>BRW szczotkowany</t>
  </si>
  <si>
    <t>BRW Czarny matowy</t>
  </si>
  <si>
    <t>BRW szampański</t>
  </si>
  <si>
    <t>BRW INOX (stal nierdzewna)</t>
  </si>
  <si>
    <t>Corleone czarny matowy</t>
  </si>
  <si>
    <t>Corleone szampański</t>
  </si>
  <si>
    <t>Imola Czarny matowy</t>
  </si>
  <si>
    <t>Imola bialy matowy</t>
  </si>
  <si>
    <t>Modena Czarny matowy</t>
  </si>
  <si>
    <t>Modena INOX (stal nierdzewna)</t>
  </si>
  <si>
    <t>Palio Czarny matowy</t>
  </si>
  <si>
    <t>Pisa Czarny matowy</t>
  </si>
  <si>
    <t>Siena czarny matowy</t>
  </si>
  <si>
    <t>Verona szczotkowany</t>
  </si>
  <si>
    <t>Verona czarny matowy</t>
  </si>
  <si>
    <t>Verona szampański</t>
  </si>
  <si>
    <t>Verona Inox szczotkowany</t>
  </si>
  <si>
    <t>Verona Inox Acier szczotkowany</t>
  </si>
  <si>
    <t>Vivaro czarny matowy</t>
  </si>
  <si>
    <t>Vivaro INOX (stal nierdzewna)</t>
  </si>
  <si>
    <t>Vivaro biały matowy</t>
  </si>
  <si>
    <t>Vivaro biały połysk</t>
  </si>
  <si>
    <t>Antisol brąz</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</si>
  <si>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</si>
  <si>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</si>
  <si>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</si>
  <si>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</si>
  <si>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</si>
  <si>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</si>
  <si>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</si>
  <si>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</si>
  <si>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</si>
  <si>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</si>
  <si>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</si>
  <si>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</si>
  <si>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</si>
  <si>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Wypełnione zamówienie wyślij pod adres</t>
  </si>
  <si>
    <t>Do ramek ponadgabarytowych (ponad rozmiar 1200 x 800 mm) może być doliczana opłata za specjalne zapakowanie i transport (dodatkowe informacje w Biurze Obsługi Klienta)</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</si>
  <si>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</si>
  <si>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</si>
  <si>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</si>
  <si>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</si>
  <si>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</si>
  <si>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</si>
  <si>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</si>
  <si>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</si>
  <si>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</si>
  <si>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</si>
  <si>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</si>
  <si>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Již neměnit po tom co vyberete</t>
  </si>
  <si>
    <t>Už nemeniť po tom čo vyberiete</t>
  </si>
  <si>
    <t>Nie zmieniaj po wybraniu</t>
  </si>
  <si>
    <t>A kiválasztás után ne változtasson</t>
  </si>
  <si>
    <t>Zpět</t>
  </si>
  <si>
    <t>Vissza</t>
  </si>
  <si>
    <t>Powrót</t>
  </si>
  <si>
    <t>Späť</t>
  </si>
  <si>
    <t>Lamane?</t>
  </si>
  <si>
    <t>(spodního)</t>
  </si>
  <si>
    <t>(horního)</t>
  </si>
  <si>
    <t>(levého)</t>
  </si>
  <si>
    <t>(pravého)</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</si>
  <si>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</si>
  <si>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</si>
  <si>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</si>
  <si>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</si>
  <si>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</si>
  <si>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</si>
  <si>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</si>
  <si>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</si>
  <si>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</si>
  <si>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</si>
  <si>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</si>
  <si>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</si>
  <si>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</si>
  <si>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</si>
  <si>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</si>
  <si>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</si>
  <si>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</si>
  <si>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BRW Light Stainless Steel (ACIER GRATA)</t>
  </si>
  <si>
    <t>Black Varna (Left and Right) + Black Siena (Top and bottom)</t>
  </si>
  <si>
    <t>Siena black (Left and right) + Varna black (Top and bottom)</t>
  </si>
  <si>
    <t>Black Varna (Left and Right) + Black Rocca (Top and Bottom)</t>
  </si>
  <si>
    <t>Rocca black (Left and right) + Varna black (Top and bottom)</t>
  </si>
  <si>
    <t>Master  Lens</t>
  </si>
  <si>
    <t>Matelac mirror silver.</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</si>
  <si>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</si>
  <si>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</si>
  <si>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</si>
  <si>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</si>
  <si>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</si>
  <si>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</si>
  <si>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</si>
  <si>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</si>
  <si>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</si>
  <si>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</si>
  <si>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</si>
  <si>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</si>
  <si>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Select from list</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</si>
  <si>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</si>
  <si>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</si>
  <si>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</si>
  <si>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</si>
  <si>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</si>
  <si>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</si>
  <si>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</si>
  <si>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</si>
  <si>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</si>
  <si>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</si>
  <si>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</si>
  <si>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</si>
  <si>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</si>
  <si>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</si>
  <si>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</si>
  <si>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</si>
  <si>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</si>
  <si>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</si>
  <si>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</si>
  <si>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</si>
  <si>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The height of the frame is, by default, 6 mm less than the stated internal height of the box.</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</si>
  <si>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</si>
  <si>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</si>
  <si>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</si>
  <si>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</si>
  <si>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</si>
  <si>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</si>
  <si>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</si>
  <si>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</si>
  <si>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</si>
  <si>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</si>
  <si>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</si>
  <si>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</si>
  <si>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</si>
  <si>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</si>
  <si>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</si>
  <si>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</si>
  <si>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</si>
  <si>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</si>
  <si>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</si>
  <si>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</si>
  <si>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</si>
  <si>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Vertical</t>
  </si>
  <si>
    <t>Horizontal and Vertical</t>
  </si>
  <si>
    <t>Transparent</t>
  </si>
  <si>
    <t>White</t>
  </si>
  <si>
    <t>Black</t>
  </si>
  <si>
    <t>Next</t>
  </si>
  <si>
    <t>Summary</t>
  </si>
  <si>
    <t>Warning</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</si>
  <si>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</si>
  <si>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</si>
  <si>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</si>
  <si>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</si>
  <si>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</si>
  <si>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</si>
  <si>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</si>
  <si>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</si>
  <si>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</si>
  <si>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Při použití pantů je doporučený rozměr 600 mm.</t>
  </si>
  <si>
    <t>W przypadku zawiasów zalecany rozmiar to 600 mm.</t>
  </si>
  <si>
    <t>Pri použití pántov je odporúčaný rozmer 600 mm.</t>
  </si>
  <si>
    <t>When using hinges, the recommended size is 600 mm.</t>
  </si>
  <si>
    <t>VERONA</t>
  </si>
  <si>
    <t>ROCCA</t>
  </si>
  <si>
    <t>RAVENNA</t>
  </si>
  <si>
    <t>IMOLA</t>
  </si>
  <si>
    <t>PALIO</t>
  </si>
  <si>
    <t>MODENA</t>
  </si>
  <si>
    <t>SIENA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</si>
  <si>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</si>
  <si>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</si>
  <si>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</si>
  <si>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</si>
  <si>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</si>
  <si>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</si>
  <si>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</si>
  <si>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</si>
  <si>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Rocca čierna dĺžka max. 2150 mm / Varny čierna dĺžka max. 1200</t>
  </si>
  <si>
    <t>Varna černá výrobce doporučuje délku max. 1200 mm</t>
  </si>
  <si>
    <t>Varna čierna výrobca odporúča dĺžku max. 1200 mm</t>
  </si>
  <si>
    <t>Varna czarna - producent zaleca długość max. 1200 mm</t>
  </si>
  <si>
    <t>Rocca czarny - długość max. 2150 mm / Varna czarna - długość max. 1200</t>
  </si>
  <si>
    <t>Varna fekete - a gyártó max. 1200 mm</t>
  </si>
  <si>
    <t>Rocca fekete - a gyártó max. 2150 mm / Varna fekete - a gyártó max. 1200 mm</t>
  </si>
  <si>
    <t>Varna black - the manufacturer recommends a length of max. 1200 mm</t>
  </si>
  <si>
    <t>Rocca black length max. 2150 mm /Varna black length max. 1200 mm</t>
  </si>
  <si>
    <t>VarnA čierna výrobca odporúča dĺžku max. 1200 mm</t>
  </si>
  <si>
    <t>Rocca černá délka max. 2150 mm/ Varna černá délka max. 1200 mm</t>
  </si>
  <si>
    <t>Objednávka skla</t>
  </si>
  <si>
    <t>Zamówienie szkła</t>
  </si>
  <si>
    <t>Üvegrendelés</t>
  </si>
  <si>
    <t>Glass order</t>
  </si>
  <si>
    <t>Broušení hran</t>
  </si>
  <si>
    <t>BRW dark stainless steel</t>
  </si>
  <si>
    <t>Palio black matt</t>
  </si>
  <si>
    <t>Siena black matt</t>
  </si>
  <si>
    <t>Vivaro dark stainless steel</t>
  </si>
  <si>
    <t>Rocca black</t>
  </si>
  <si>
    <t>Varna black</t>
  </si>
  <si>
    <t>harded</t>
  </si>
  <si>
    <t>Foil</t>
  </si>
  <si>
    <t>Not treated</t>
  </si>
  <si>
    <t>Lacomatt</t>
  </si>
  <si>
    <t>Mirror black</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</si>
  <si>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</si>
  <si>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</si>
  <si>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</si>
  <si>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</si>
  <si>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</si>
  <si>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</si>
  <si>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</si>
  <si>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</si>
  <si>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</si>
  <si>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</si>
  <si>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</si>
  <si>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</si>
  <si>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</si>
  <si>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</si>
  <si>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</si>
  <si>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</si>
  <si>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</si>
  <si>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</si>
  <si>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</si>
  <si>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</si>
  <si>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</si>
  <si>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</si>
  <si>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</si>
  <si>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</si>
  <si>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</si>
  <si>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</si>
  <si>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</si>
  <si>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</si>
  <si>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</si>
  <si>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</si>
  <si>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</si>
  <si>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</si>
  <si>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</si>
  <si>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</si>
  <si>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</si>
  <si>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</si>
  <si>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</si>
  <si>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</si>
  <si>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</si>
  <si>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</si>
  <si>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</si>
  <si>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</si>
  <si>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</si>
  <si>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</si>
  <si>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</si>
  <si>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</si>
  <si>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</si>
  <si>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</si>
  <si>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</si>
  <si>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</si>
  <si>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</si>
  <si>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</si>
  <si>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</si>
  <si>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</si>
  <si>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</si>
  <si>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</si>
  <si>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</si>
  <si>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</si>
  <si>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</si>
  <si>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</si>
  <si>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</si>
  <si>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</si>
  <si>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</si>
  <si>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</si>
  <si>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</si>
  <si>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</si>
  <si>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</si>
  <si>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</si>
  <si>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</si>
  <si>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</si>
  <si>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</si>
  <si>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</si>
  <si>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</si>
  <si>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</si>
  <si>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</si>
  <si>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</si>
  <si>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</si>
  <si>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</si>
  <si>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</si>
  <si>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</si>
  <si>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</si>
  <si>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</si>
  <si>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</si>
  <si>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</si>
  <si>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</si>
  <si>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</si>
  <si>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</si>
  <si>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</si>
  <si>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</si>
  <si>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</si>
  <si>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</si>
  <si>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</si>
  <si>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</si>
  <si>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</si>
  <si>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</si>
  <si>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</si>
  <si>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</si>
  <si>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</si>
  <si>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</si>
  <si>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</si>
  <si>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</si>
  <si>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</si>
  <si>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</si>
  <si>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</si>
  <si>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</si>
  <si>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</si>
  <si>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</si>
  <si>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</si>
  <si>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</si>
  <si>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</si>
  <si>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</si>
  <si>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</si>
  <si>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</si>
  <si>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</si>
  <si>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</si>
  <si>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</si>
  <si>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</si>
  <si>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</si>
  <si>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</si>
  <si>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</si>
  <si>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</si>
  <si>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</si>
  <si>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</si>
  <si>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</si>
  <si>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</si>
  <si>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</si>
  <si>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</si>
  <si>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</si>
  <si>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</si>
  <si>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</si>
  <si>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</si>
  <si>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</si>
  <si>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</si>
  <si>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</si>
  <si>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</si>
  <si>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Horizontal</t>
  </si>
  <si>
    <t>Frame composed of two different profiles</t>
  </si>
  <si>
    <t>Type of foil</t>
  </si>
  <si>
    <t>The view of the dividers is only illustrative and does not show the selected number of dividers horizontally/vertically.</t>
  </si>
  <si>
    <t>Do not change after you make a choice</t>
  </si>
  <si>
    <t>Default distance from the edge is set at 100mm (minimum 80mm). In case of different distances between hinges, please make a note (in mm).</t>
  </si>
  <si>
    <t>black black brushed</t>
  </si>
  <si>
    <t>Modena dark stainless steel brushed</t>
  </si>
  <si>
    <t>Verona brushed aluminium</t>
  </si>
  <si>
    <t>Verona dark stainless steel brushed</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</si>
  <si>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</si>
  <si>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</si>
  <si>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</si>
  <si>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</si>
  <si>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</si>
  <si>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</si>
  <si>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</si>
  <si>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</si>
  <si>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</si>
  <si>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</si>
  <si>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</si>
  <si>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</si>
  <si>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</si>
  <si>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</si>
  <si>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</si>
  <si>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</si>
  <si>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</si>
  <si>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</si>
  <si>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</si>
  <si>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</si>
  <si>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</si>
  <si>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</si>
  <si>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</si>
  <si>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</si>
  <si>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</si>
  <si>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zlatá</t>
  </si>
  <si>
    <t>BRW złota</t>
  </si>
  <si>
    <t>BRW arany</t>
  </si>
  <si>
    <t>BRW gold</t>
  </si>
  <si>
    <t>Verona zlatá</t>
  </si>
  <si>
    <t>Verona złota</t>
  </si>
  <si>
    <t>Verona arany</t>
  </si>
  <si>
    <t>Verona gold</t>
  </si>
  <si>
    <t>Vivaro zlatá</t>
  </si>
  <si>
    <t>Vivaro złota</t>
  </si>
  <si>
    <t>Vivaro arany</t>
  </si>
  <si>
    <t>Vivaro gold</t>
  </si>
  <si>
    <t>Imola zlatá</t>
  </si>
  <si>
    <t>Imola złota</t>
  </si>
  <si>
    <t>Imola arany</t>
  </si>
  <si>
    <t>Imola gold</t>
  </si>
  <si>
    <t>Pisa zlatá</t>
  </si>
  <si>
    <t>Pisa złota</t>
  </si>
  <si>
    <t>Pisa arany</t>
  </si>
  <si>
    <t>Pisa gold</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</si>
  <si>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</si>
  <si>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</si>
  <si>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</si>
  <si>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</si>
  <si>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</si>
  <si>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</si>
  <si>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</si>
  <si>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</si>
  <si>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</si>
  <si>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</si>
  <si>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</si>
  <si>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</si>
  <si>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</si>
  <si>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</si>
  <si>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</si>
  <si>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</si>
  <si>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</si>
  <si>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</si>
  <si>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</si>
  <si>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</si>
  <si>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</si>
  <si>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</si>
  <si>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</si>
  <si>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</si>
  <si>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</si>
  <si>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</si>
  <si>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</si>
  <si>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</si>
  <si>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</si>
  <si>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</si>
  <si>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</si>
  <si>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</si>
  <si>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</si>
  <si>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</si>
  <si>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</si>
  <si>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</si>
  <si>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</si>
  <si>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</si>
  <si>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</si>
  <si>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</si>
  <si>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</si>
  <si>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</si>
  <si>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</si>
  <si>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</si>
  <si>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</si>
  <si>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</si>
  <si>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</si>
  <si>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</si>
  <si>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</si>
  <si>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</si>
  <si>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</si>
  <si>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</si>
  <si>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</si>
  <si>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</si>
  <si>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</si>
  <si>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</si>
  <si>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</si>
  <si>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</si>
  <si>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</si>
  <si>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</si>
  <si>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</si>
  <si>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</si>
  <si>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</si>
  <si>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</si>
  <si>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</si>
  <si>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</si>
  <si>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</si>
  <si>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</si>
  <si>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</si>
  <si>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</si>
  <si>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</si>
  <si>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</si>
  <si>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</si>
  <si>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</si>
  <si>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</si>
  <si>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</si>
  <si>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</si>
  <si>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</si>
  <si>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</si>
  <si>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</si>
  <si>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</si>
  <si>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</si>
  <si>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</si>
  <si>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</si>
  <si>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</si>
  <si>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</si>
  <si>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</si>
  <si>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</si>
  <si>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</si>
  <si>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</si>
  <si>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</si>
  <si>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</si>
  <si>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</si>
  <si>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</si>
  <si>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</si>
  <si>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</si>
  <si>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</si>
  <si>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</si>
  <si>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</si>
  <si>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</si>
  <si>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</si>
  <si>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</si>
  <si>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</si>
  <si>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</si>
  <si>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</si>
  <si>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</si>
  <si>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</si>
  <si>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</si>
  <si>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</si>
  <si>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</si>
  <si>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</si>
  <si>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</si>
  <si>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</si>
  <si>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</si>
  <si>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</si>
  <si>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</si>
  <si>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</si>
  <si>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</si>
  <si>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</si>
  <si>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</si>
  <si>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</si>
  <si>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</si>
  <si>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</si>
  <si>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</si>
  <si>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</si>
  <si>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</si>
  <si>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</si>
  <si>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</si>
  <si>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</si>
  <si>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</si>
  <si>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</si>
  <si>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</si>
  <si>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</si>
  <si>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</si>
  <si>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</si>
  <si>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</si>
  <si>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</si>
  <si>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</si>
  <si>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</si>
  <si>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</si>
  <si>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</si>
  <si>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</si>
  <si>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</si>
  <si>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</si>
  <si>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</si>
  <si>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</si>
  <si>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</si>
  <si>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</si>
  <si>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</si>
  <si>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</si>
  <si>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</si>
  <si>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</si>
  <si>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</si>
  <si>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</si>
  <si>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</si>
  <si>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</si>
  <si>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</si>
  <si>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</si>
  <si>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</si>
  <si>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</si>
  <si>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</si>
  <si>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</si>
  <si>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</si>
  <si>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</si>
  <si>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</si>
  <si>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</si>
  <si>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</si>
  <si>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</si>
  <si>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</si>
  <si>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</si>
  <si>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</si>
  <si>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</si>
  <si>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</si>
  <si>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</si>
  <si>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</si>
  <si>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</si>
  <si>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</si>
  <si>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</si>
  <si>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</si>
  <si>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</si>
  <si>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</si>
  <si>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</si>
  <si>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</si>
  <si>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</si>
  <si>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</si>
  <si>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</si>
  <si>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</si>
  <si>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</si>
  <si>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</si>
  <si>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</si>
  <si>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</si>
  <si>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</si>
  <si>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</si>
  <si>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</si>
  <si>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</si>
  <si>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</si>
  <si>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</si>
  <si>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</si>
  <si>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</si>
  <si>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</si>
  <si>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</si>
  <si>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</si>
  <si>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</si>
  <si>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</si>
  <si>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</si>
  <si>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</si>
  <si>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</si>
  <si>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</si>
  <si>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</si>
  <si>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</si>
  <si>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</si>
  <si>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</si>
  <si>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</si>
  <si>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</si>
  <si>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</si>
  <si>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</si>
  <si>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</si>
  <si>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</si>
  <si>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</si>
  <si>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</si>
  <si>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</si>
  <si>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</si>
  <si>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</si>
  <si>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</si>
  <si>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</si>
  <si>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</si>
  <si>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</si>
  <si>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</si>
  <si>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</si>
  <si>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</si>
  <si>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</si>
  <si>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</si>
  <si>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</si>
  <si>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</si>
  <si>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</si>
  <si>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</si>
  <si>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</si>
  <si>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</si>
  <si>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</si>
  <si>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</si>
  <si>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</si>
  <si>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</si>
  <si>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</si>
  <si>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</si>
  <si>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</si>
  <si>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</si>
  <si>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</si>
  <si>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</si>
  <si>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</si>
  <si>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</si>
  <si>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</si>
  <si>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</si>
  <si>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</si>
  <si>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</si>
  <si>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</si>
  <si>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</si>
  <si>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</si>
  <si>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</si>
  <si>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</si>
  <si>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</si>
  <si>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</si>
  <si>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</si>
  <si>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</si>
  <si>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</si>
  <si>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</si>
  <si>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</si>
  <si>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</si>
  <si>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</si>
  <si>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</si>
  <si>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</si>
  <si>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</si>
  <si>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</si>
  <si>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</si>
  <si>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</si>
  <si>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</si>
  <si>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</si>
  <si>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</si>
  <si>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</si>
  <si>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</si>
  <si>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</si>
  <si>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</si>
  <si>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</si>
  <si>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</si>
  <si>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</si>
  <si>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</si>
  <si>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</si>
  <si>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</si>
  <si>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</si>
  <si>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</si>
  <si>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</si>
  <si>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</si>
  <si>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</si>
  <si>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</si>
  <si>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</si>
  <si>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</si>
  <si>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</si>
  <si>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</si>
  <si>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</si>
  <si>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</si>
  <si>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</si>
  <si>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</si>
  <si>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</si>
  <si>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</si>
  <si>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</si>
  <si>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</si>
  <si>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</si>
  <si>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</si>
  <si>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</si>
  <si>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</si>
  <si>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</si>
  <si>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</si>
  <si>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</si>
  <si>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</si>
  <si>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</si>
  <si>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</si>
  <si>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</si>
  <si>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</si>
  <si>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</si>
  <si>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</si>
  <si>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</si>
  <si>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</si>
  <si>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</si>
  <si>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</si>
  <si>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</si>
  <si>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</si>
  <si>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</si>
  <si>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</si>
  <si>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Pisa bílá lesk</t>
  </si>
  <si>
    <t>Pisa biela lesk</t>
  </si>
  <si>
    <t>Pisa biały połysk</t>
  </si>
  <si>
    <t>Pisa fehér fényes</t>
  </si>
  <si>
    <t>Pisa white gloss</t>
  </si>
  <si>
    <t>Kalení cena</t>
  </si>
  <si>
    <t>Folie cena</t>
  </si>
  <si>
    <t>Lesk</t>
  </si>
  <si>
    <t>Mat</t>
  </si>
  <si>
    <t>Gloss</t>
  </si>
  <si>
    <t>Matt</t>
  </si>
  <si>
    <t>Połysk</t>
  </si>
  <si>
    <t>Fényes</t>
  </si>
  <si>
    <t>Matowy</t>
  </si>
  <si>
    <t>Optiwhite</t>
  </si>
  <si>
    <t>X = Wiercenie uchwytu na srod</t>
  </si>
  <si>
    <t xml:space="preserve">Do zelených buniek uveďte vzdialenosť vŕtania úchytky od kraja rámčeka._x000D_
Ak požadujete vŕtanie úchytky na stred rámčeka a do stredu profilu, vpíšte prosím do zelených buniek " x ". </t>
  </si>
  <si>
    <t>„W zielonych komórkach określ odległość wiercenia uchwytu od krawędzi ramy.
Jeśli chcesz przewiercić uchwyt w środku ościeżnicy i na środku profilu, w zielonych polach wpisz „x”.</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</si>
  <si>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</si>
  <si>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</si>
  <si>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</si>
  <si>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</si>
  <si>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</si>
  <si>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</si>
  <si>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</si>
  <si>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</si>
  <si>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</si>
  <si>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</si>
  <si>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</si>
  <si>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</si>
  <si>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</si>
  <si>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</si>
  <si>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</si>
  <si>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</si>
  <si>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</si>
  <si>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</si>
  <si>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</si>
  <si>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</si>
  <si>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</si>
  <si>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</si>
  <si>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</si>
  <si>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</si>
  <si>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</si>
  <si>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</si>
  <si>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</si>
  <si>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</si>
  <si>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</si>
  <si>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</si>
  <si>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</si>
  <si>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</si>
  <si>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</si>
  <si>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</si>
  <si>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</si>
  <si>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</si>
  <si>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</si>
  <si>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</si>
  <si>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</si>
  <si>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</si>
  <si>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</si>
  <si>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</si>
  <si>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</si>
  <si>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</si>
  <si>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</si>
  <si>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</si>
  <si>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</si>
  <si>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</si>
  <si>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</si>
  <si>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</si>
  <si>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</si>
  <si>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</si>
  <si>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</si>
  <si>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</si>
  <si>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</si>
  <si>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</si>
  <si>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</si>
  <si>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</si>
  <si>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</si>
  <si>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</si>
  <si>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</si>
  <si>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</si>
  <si>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</si>
  <si>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</si>
  <si>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</si>
  <si>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</si>
  <si>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</si>
  <si>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</si>
  <si>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</si>
  <si>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</si>
  <si>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</si>
  <si>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</si>
  <si>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</si>
  <si>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</si>
  <si>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</si>
  <si>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</si>
  <si>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</si>
  <si>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</si>
  <si>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</si>
  <si>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</si>
  <si>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</si>
  <si>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</si>
  <si>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</si>
  <si>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</si>
  <si>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</si>
  <si>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</si>
  <si>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</si>
  <si>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</si>
  <si>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</si>
  <si>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</si>
  <si>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</si>
  <si>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</si>
  <si>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</si>
  <si>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</si>
  <si>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</si>
  <si>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</si>
  <si>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</si>
  <si>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</si>
  <si>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</si>
  <si>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</si>
  <si>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</si>
  <si>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</si>
  <si>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</si>
  <si>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</si>
  <si>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</si>
  <si>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</si>
  <si>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</si>
  <si>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 spodní 80N šedá</t>
  </si>
  <si>
    <t>275689-spodná 80N sivá</t>
  </si>
  <si>
    <t>275689-barkowy 80N szary</t>
  </si>
  <si>
    <t>275689-alsó 80N szürke</t>
  </si>
  <si>
    <t>275689 - bottom, 80N grey</t>
  </si>
  <si>
    <t>248167- spodní 80N bílá</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</si>
  <si>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</si>
  <si>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</si>
  <si>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</si>
  <si>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</si>
  <si>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</si>
  <si>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</si>
  <si>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</si>
  <si>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</si>
  <si>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</si>
  <si>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</si>
  <si>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</si>
  <si>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</si>
  <si>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</si>
  <si>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</si>
  <si>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</si>
  <si>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</si>
  <si>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</si>
  <si>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</si>
  <si>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</si>
  <si>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</si>
  <si>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</si>
  <si>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</si>
  <si>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</si>
  <si>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</si>
  <si>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</si>
  <si>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</si>
  <si>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</si>
  <si>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használata esetén az ajánlott méret 600 mm.</t>
  </si>
  <si>
    <t>A pántok szabványos távolsága az éltől 100 mm (minimum 80 mm). Ha meg kell változtatni az egyes pántok közötti távolságot, kérjük, írja meg a megjegyzésben (mm-ben).</t>
  </si>
  <si>
    <t>Typ úpravy skla</t>
  </si>
  <si>
    <t>Typ upravy skla</t>
  </si>
  <si>
    <t>Rocca champagne</t>
  </si>
  <si>
    <t>Rocca černá mat</t>
  </si>
  <si>
    <t>Rocca čierna mat</t>
  </si>
  <si>
    <t>Rocca czarny matowy</t>
  </si>
  <si>
    <t>Rocca fekete matt</t>
  </si>
  <si>
    <t>Rocca black matt</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</si>
  <si>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</si>
  <si>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</si>
  <si>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</si>
  <si>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</si>
  <si>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</si>
  <si>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</si>
  <si>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</si>
  <si>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</si>
  <si>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</si>
  <si>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</si>
  <si>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</si>
  <si>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</si>
  <si>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</si>
  <si>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</si>
  <si>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</si>
  <si>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</si>
  <si>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</si>
  <si>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</si>
  <si>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</si>
  <si>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</si>
  <si>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</si>
  <si>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</si>
  <si>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</si>
  <si>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</si>
  <si>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</si>
  <si>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</si>
  <si>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</si>
  <si>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</si>
  <si>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</si>
  <si>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</si>
  <si>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</si>
  <si>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</si>
  <si>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</si>
  <si>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Pisa bílá mat</t>
  </si>
  <si>
    <t>Pisa biela mat</t>
  </si>
  <si>
    <t>Pisa biały matowy</t>
  </si>
  <si>
    <t>Pisa fehér matt</t>
  </si>
  <si>
    <t>Pisa white matt</t>
  </si>
  <si>
    <t>BRW zlatá brúsená</t>
  </si>
  <si>
    <t>Verona zlatá brúsená</t>
  </si>
  <si>
    <t>Vivaro zlatá brúsená</t>
  </si>
  <si>
    <t>BRW zlatá broušená</t>
  </si>
  <si>
    <t>Verona zlatá broušená</t>
  </si>
  <si>
    <t>VIVARO zlatá broušená</t>
  </si>
  <si>
    <t>BRW złota szczotkowany</t>
  </si>
  <si>
    <t>Verona złota szczotkowany</t>
  </si>
  <si>
    <t>Vivaro złota szczotkowany</t>
  </si>
  <si>
    <t>BRW arany csiszolt</t>
  </si>
  <si>
    <t>Verona arany csiszolt</t>
  </si>
  <si>
    <t>Vivaro arany csiszolt</t>
  </si>
  <si>
    <t>BRW golg brushed</t>
  </si>
  <si>
    <t>Verona gold brushed</t>
  </si>
  <si>
    <t>Vivaro gold brushed</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</si>
  <si>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</si>
  <si>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</si>
  <si>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</si>
  <si>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</si>
  <si>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</si>
  <si>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</si>
  <si>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</si>
  <si>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</si>
  <si>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</si>
  <si>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</si>
  <si>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</si>
  <si>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</si>
  <si>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</si>
  <si>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</si>
  <si>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</si>
  <si>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</si>
  <si>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</si>
  <si>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</si>
  <si>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</si>
  <si>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</si>
  <si>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</si>
  <si>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</si>
  <si>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</si>
  <si>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</si>
  <si>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</si>
  <si>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</si>
  <si>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</si>
  <si>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</si>
  <si>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</si>
  <si>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</si>
  <si>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</si>
  <si>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</si>
  <si>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</si>
  <si>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</si>
  <si>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</si>
  <si>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</si>
  <si>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</si>
  <si>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</si>
  <si>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</si>
  <si>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</si>
  <si>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</si>
  <si>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</si>
  <si>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</si>
  <si>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</si>
  <si>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</si>
  <si>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</si>
  <si>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</si>
  <si>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</si>
  <si>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</si>
  <si>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</si>
  <si>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</si>
  <si>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</si>
  <si>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</si>
  <si>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</si>
  <si>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</si>
  <si>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</si>
  <si>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</si>
  <si>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</si>
  <si>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</si>
  <si>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</si>
  <si>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</si>
  <si>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</si>
  <si>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</si>
  <si>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</si>
  <si>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</si>
  <si>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</si>
  <si>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Vzdálenost od spodního okraje</t>
  </si>
  <si>
    <t>Vzdálenost od horního okraje</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</si>
  <si>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</si>
  <si>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</si>
  <si>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</si>
  <si>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</si>
  <si>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</si>
  <si>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</si>
  <si>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</si>
  <si>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</si>
  <si>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</si>
  <si>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</si>
  <si>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</si>
  <si>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</si>
  <si>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</si>
  <si>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</si>
  <si>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</si>
  <si>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</si>
  <si>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</si>
  <si>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</si>
  <si>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</si>
  <si>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</si>
  <si>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</si>
  <si>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Varna (elox.)</t>
  </si>
  <si>
    <t>Rocca (elox.)</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</si>
  <si>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</si>
  <si>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</si>
  <si>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</si>
  <si>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</si>
  <si>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</si>
  <si>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</si>
  <si>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</si>
  <si>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</si>
  <si>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</si>
  <si>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</si>
  <si>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</si>
  <si>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</si>
  <si>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</si>
  <si>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</si>
  <si>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</si>
  <si>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</si>
  <si>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</si>
  <si>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</si>
  <si>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</si>
  <si>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</si>
  <si>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</si>
  <si>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</si>
  <si>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</si>
  <si>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</si>
  <si>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</si>
  <si>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</si>
  <si>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</si>
  <si>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</si>
  <si>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</si>
  <si>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</si>
  <si>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</si>
  <si>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</si>
  <si>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</si>
  <si>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</si>
  <si>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</si>
  <si>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</si>
  <si>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</si>
  <si>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</si>
  <si>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</si>
  <si>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</si>
  <si>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</si>
  <si>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</si>
  <si>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</si>
  <si>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</si>
  <si>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</si>
  <si>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</si>
  <si>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</si>
  <si>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</si>
  <si>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</si>
  <si>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</si>
  <si>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</si>
  <si>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</si>
  <si>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</si>
  <si>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</si>
  <si>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</si>
  <si>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</si>
  <si>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</si>
  <si>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</si>
  <si>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</si>
  <si>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</si>
  <si>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MASTER SOFT</t>
  </si>
  <si>
    <t>MASTER FLEX</t>
  </si>
  <si>
    <t>VISIOSUN</t>
  </si>
  <si>
    <t>FLUTES</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</si>
  <si>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</si>
  <si>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</si>
  <si>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</si>
  <si>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</si>
  <si>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Maximální doporučený rozměr rámečku je 2550 x 1250 mm (v případě rámečků s nalepeným sklem, např. Corleone 1500 x 600 mm)</t>
  </si>
  <si>
    <t>Maximálny doporučený rozmer rámčeka je 2550 x 1250 mm (v prípade rámčekov s nalepeným sklom, napr. Corleone 1500 x 600 mm)</t>
  </si>
  <si>
    <t>Maksymalny zalecany rozmiar ramki to 2550 x 1250 mm (w wypadku ramek ze szkłem wklejanym, np. Corleone 1500 x 600 mm)</t>
  </si>
  <si>
    <t>The maximum recommended frame size is 2550 x 1250 mm (1500 x 600 mm in the case of glued glass frames, e.g. Corleone)</t>
  </si>
  <si>
    <t>Aventos_ HKI</t>
  </si>
  <si>
    <t>ASTI</t>
  </si>
  <si>
    <t>ASTI černá mat</t>
  </si>
  <si>
    <t>ASTI antracit RAL 7021 mat</t>
  </si>
  <si>
    <t>ASTI  antracyt mat RAL 7021 mat lakier</t>
  </si>
  <si>
    <t>ASTI čierna mat</t>
  </si>
  <si>
    <t>ASTI black matt</t>
  </si>
  <si>
    <t>ASTI anthracite RAL 7021 matt</t>
  </si>
  <si>
    <t>ASTI antracit RAL 7021 matt</t>
  </si>
  <si>
    <r>
      <t>A keretek maximális mérete 2550 x 1250 mm</t>
    </r>
    <r>
      <rPr>
        <b/>
        <sz val="11"/>
        <color indexed="10"/>
        <rFont val="Calibri"/>
        <family val="2"/>
        <charset val="238"/>
      </rPr>
      <t xml:space="preserve"> </t>
    </r>
    <r>
      <rPr>
        <b/>
        <sz val="11"/>
        <color indexed="10"/>
        <rFont val="Calibri"/>
        <family val="2"/>
        <charset val="238"/>
      </rPr>
      <t>( kereteknél ragasztott üveggel, Corleone 1500 x 600 mm)</t>
    </r>
  </si>
  <si>
    <t>síťka alu zlatá</t>
  </si>
  <si>
    <t>síťka ocel černá mat</t>
  </si>
  <si>
    <t>síťka ocel bílá</t>
  </si>
  <si>
    <t>síťka elox</t>
  </si>
  <si>
    <t>sieťka alu zlatá</t>
  </si>
  <si>
    <t>sieťka elox</t>
  </si>
  <si>
    <t>sieťka ocel čierna mat</t>
  </si>
  <si>
    <t>sieťka ocel biela</t>
  </si>
  <si>
    <t>siatka alu złota</t>
  </si>
  <si>
    <t>siatka stalowa czarna matowa</t>
  </si>
  <si>
    <t>siatka stalowa biała</t>
  </si>
  <si>
    <t>siatka elox</t>
  </si>
  <si>
    <t>mesh anodized</t>
  </si>
  <si>
    <t>mesh steel white</t>
  </si>
  <si>
    <t>mesh steel black matt</t>
  </si>
  <si>
    <t xml:space="preserve"> mesh aluminum gold</t>
  </si>
  <si>
    <t>BRW champagne light</t>
  </si>
  <si>
    <t xml:space="preserve">ASTI  czarne </t>
  </si>
  <si>
    <t>Arany alu háló / siatka alu złota</t>
  </si>
  <si>
    <t>Háló acél fekete matt / siatka stalowa czarna matowa</t>
  </si>
  <si>
    <t>Háló acél fehér / siatka stalowa biała</t>
  </si>
  <si>
    <t>Háló eloxált / siatka elox</t>
  </si>
  <si>
    <t>ROMA černá mat</t>
  </si>
  <si>
    <t>ROMA champagne mat</t>
  </si>
  <si>
    <t>ROMA champagne matt</t>
  </si>
  <si>
    <t>ROMA čierna mat</t>
  </si>
  <si>
    <t>ROMA czarna matowa</t>
  </si>
  <si>
    <t>ROMA fekete matt / ROMA czarna matowa</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</si>
  <si>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</si>
  <si>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</si>
  <si>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</si>
  <si>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</si>
  <si>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</si>
  <si>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</si>
  <si>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</si>
  <si>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</si>
  <si>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 GRIP černá mat</t>
  </si>
  <si>
    <t>ROMA GRIP čierna mat</t>
  </si>
  <si>
    <t>ROMA GRIP czarna matowa</t>
  </si>
  <si>
    <t>ROMA GRIP champagne matt</t>
  </si>
  <si>
    <t>ROMA GRIP champagne mat</t>
  </si>
  <si>
    <t>ROMA</t>
  </si>
  <si>
    <t>ROMA GRIP</t>
  </si>
  <si>
    <t>520405 Cordia SALICE AIR SOFT niklový závěs s úhlem otevírání 92° sada 2ks</t>
  </si>
  <si>
    <t>520406 Cordia SALICE AIR PUSH TO OPEN niklový závěs s adaptérem sada 2ks</t>
  </si>
  <si>
    <t>520407 Cordia SALICE AIR PUSH TO OPEN niklový závěs s adaptérem sada 2ks</t>
  </si>
  <si>
    <t>520408 Cordia SALICE AIR SOFT niklový závěs s adaptérem sada 2ks</t>
  </si>
  <si>
    <t>520410 Cordia SALICE AIR SOFT TITANIUM závěs s úhlem otevírání 92' sada 2ks</t>
  </si>
  <si>
    <t>520411 Cordia SALICE AIR TITANIUM PUSH TO OPEN závěs sada 2ks</t>
  </si>
  <si>
    <t>520412 Cordia SALICE AIR TITANIUM PUSH TO OPEN závěs s adaptérem sada 2ks</t>
  </si>
  <si>
    <t>520413 Cordia SALICE AIR SOFT TITANIUM závěs s adaptérem sada 2ks</t>
  </si>
  <si>
    <t>Výplň rámečku síťka</t>
  </si>
  <si>
    <t>bude výplní síťka?</t>
  </si>
  <si>
    <t>síťky</t>
  </si>
  <si>
    <t>závěsy_ Salice</t>
  </si>
  <si>
    <t>520405 Cordia SALICE AIR SOFT zawiasy niklowe o kącie otwarcia 92° kpl. 2 szt</t>
  </si>
  <si>
    <t>520405 Cordia SALICE AIR AIR SOFT nikkel pánt 92°-os nyitási szöggel 2 db-os készlet</t>
  </si>
  <si>
    <t>520406 Cordia SALICE AIR PUSH TO OPEN zawiasy niklowe z zestawem adapterów 2 szt</t>
  </si>
  <si>
    <t>520406 Cordia SALICE AIR PUSH TO OPEN nikkel pánt adapterrel 2 darabos készlet</t>
  </si>
  <si>
    <t>520407 Cordia SALICE AIR PUSH TO OPEN zawiasy niklowe z zestawem adapterów 2 szt</t>
  </si>
  <si>
    <t>520408 Cordia SALICE AIR SOFT zawiasy niklowe z zestawem adapterów 2 szt</t>
  </si>
  <si>
    <t>520408 Cordia SALICE AIR SOFT nikkel pánt adapterrel, 2 darabos készlet</t>
  </si>
  <si>
    <t>520410 Cordia SALICE AIR SOFT TITANIUM  zawiasy o kącie otwarcia 92° kpl. 2 szt</t>
  </si>
  <si>
    <t>520410 Cordia SALICE AIR SOFT TITANIUM pánt 92°-os nyitási szöggel 2 darabos készlet</t>
  </si>
  <si>
    <t>520411 Cordia SALICE AIR TITANIUM PUSH TO OPEN zawiasy komplet 2 szt</t>
  </si>
  <si>
    <t>520411 Cordia SALICE AIR SALICE AIR TITANIUM PUSH TO OPEN pánt 2 darabos készlet</t>
  </si>
  <si>
    <t>520412 Cordia SALICE AIR TITANIUM PUSH TO OPEN zawiasy z zestawem adapterów 2 szt</t>
  </si>
  <si>
    <t>520412 Cordia SALICE AIR TITANIUM PUSH TO OPEN pánt adapterrel 2 db-os készlet</t>
  </si>
  <si>
    <t>520413 Cordia SALICE AIR SOFT TITANIUM zawiasy z zestawem adapterów 2 szt</t>
  </si>
  <si>
    <t>520413 Cordia SALICE AIR SOFT TITANIUM pánt adapterrel, 2 darabos készlet</t>
  </si>
  <si>
    <t>hálós keretkitöltő</t>
  </si>
  <si>
    <t>mesh frame filler</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</si>
  <si>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</si>
  <si>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</si>
  <si>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</si>
  <si>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</si>
  <si>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</si>
  <si>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</si>
  <si>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</si>
  <si>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</si>
  <si>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</si>
  <si>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</si>
  <si>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</si>
  <si>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</si>
  <si>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</si>
  <si>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</si>
  <si>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</si>
  <si>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</si>
  <si>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</si>
  <si>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</si>
  <si>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</si>
  <si>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</si>
  <si>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ASTI czarny matowy</t>
  </si>
  <si>
    <t>ROMA czarny matowy</t>
  </si>
  <si>
    <t>ROMA GRIP czarny matowy</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</si>
  <si>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</si>
  <si>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</si>
  <si>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</si>
  <si>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</si>
  <si>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</si>
  <si>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</si>
  <si>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</si>
  <si>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</si>
  <si>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</si>
  <si>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</si>
  <si>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</si>
  <si>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</si>
  <si>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</si>
  <si>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</si>
  <si>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</si>
  <si>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</si>
  <si>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</si>
  <si>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</si>
  <si>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</si>
  <si>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</si>
  <si>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</si>
  <si>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</si>
  <si>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</si>
  <si>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</si>
  <si>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</si>
  <si>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</si>
  <si>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</si>
  <si>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</si>
  <si>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</si>
  <si>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</si>
  <si>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</si>
  <si>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</si>
  <si>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</si>
  <si>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</si>
  <si>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</si>
  <si>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</si>
  <si>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</si>
  <si>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</si>
  <si>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</si>
  <si>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</si>
  <si>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</si>
  <si>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</si>
  <si>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</si>
  <si>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</si>
  <si>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</si>
  <si>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</si>
  <si>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</si>
  <si>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</si>
  <si>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</si>
  <si>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</si>
  <si>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</si>
  <si>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</si>
  <si>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</si>
  <si>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</si>
  <si>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</si>
  <si>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</si>
  <si>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</si>
  <si>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</si>
  <si>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</si>
  <si>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</si>
  <si>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</si>
  <si>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</si>
  <si>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</si>
  <si>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</si>
  <si>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</si>
  <si>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</si>
  <si>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</si>
  <si>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</si>
  <si>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</si>
  <si>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</si>
  <si>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</si>
  <si>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</si>
  <si>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</si>
  <si>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</si>
  <si>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</si>
  <si>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</si>
  <si>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</si>
  <si>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</si>
  <si>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</si>
  <si>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</si>
  <si>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</si>
  <si>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</si>
  <si>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</si>
  <si>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</si>
  <si>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</si>
  <si>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</si>
  <si>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</si>
  <si>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</si>
  <si>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</si>
  <si>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</si>
  <si>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</si>
  <si>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</si>
  <si>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</si>
  <si>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</si>
  <si>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</si>
  <si>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</si>
  <si>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</si>
  <si>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</si>
  <si>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</si>
  <si>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</si>
  <si>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</si>
  <si>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</si>
  <si>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</si>
  <si>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</si>
  <si>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</si>
  <si>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</si>
  <si>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</si>
  <si>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</si>
  <si>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</si>
  <si>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</si>
  <si>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</si>
  <si>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</si>
  <si>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</si>
  <si>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</si>
  <si>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</si>
  <si>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</si>
  <si>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</si>
  <si>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</si>
  <si>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</si>
  <si>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</si>
  <si>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</si>
  <si>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</si>
  <si>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</si>
  <si>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</si>
  <si>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</si>
  <si>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</si>
  <si>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</si>
  <si>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</si>
  <si>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</si>
  <si>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</si>
  <si>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</si>
  <si>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</si>
  <si>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</si>
  <si>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Vivaro zlatá broušená</t>
  </si>
  <si>
    <t>Aventos_HF_TOP</t>
  </si>
  <si>
    <t>Aventos_ HL_TOP</t>
  </si>
  <si>
    <t>Aventos_ HS_TOP</t>
  </si>
  <si>
    <t>Aventos HF TOP</t>
  </si>
  <si>
    <t>Aventos_ HK_TOP</t>
  </si>
  <si>
    <t>Aventos HK_XS</t>
  </si>
  <si>
    <t>Aventos_ HK_S</t>
  </si>
  <si>
    <t>Kalené (termín dodání 3 týdny)</t>
  </si>
  <si>
    <t>Kalené (termín dodania 3 týždne)</t>
  </si>
  <si>
    <t>Hartowane (termin dostawy 3 tygodnie)</t>
  </si>
  <si>
    <t>harded (delivery is 3 weeks)</t>
  </si>
  <si>
    <t>Edzett (Szállítási határidő 3 hét)</t>
  </si>
  <si>
    <t>Příčky</t>
  </si>
  <si>
    <t>_Široký_FREEfold</t>
  </si>
  <si>
    <t>Čiré - maximální rozměr 2550 x 1605 mm</t>
  </si>
  <si>
    <t>Číre - maximálny rozmer 2550 x 1605 mm</t>
  </si>
  <si>
    <t>Czyste - maksymalne wymiary 2550 x 1605 mm</t>
  </si>
  <si>
    <t>Átlátszó Üveg - maximális mérete 2550 x 1605 mm</t>
  </si>
  <si>
    <t>Transparent - maximum possible size 2550 x 1605 mm</t>
  </si>
  <si>
    <t xml:space="preserve">Čiré kalené (dodání 3 týdny) </t>
  </si>
  <si>
    <t xml:space="preserve">Czyste hartowane (dostawa 3 tygodnie) </t>
  </si>
  <si>
    <t xml:space="preserve">Edzett üveg (szállítási idő 3 hét) </t>
  </si>
  <si>
    <t xml:space="preserve">Transparent harded (delivery 3 weeks) </t>
  </si>
  <si>
    <t>Satinato - maximální rozměr 2550 x 1605 mm</t>
  </si>
  <si>
    <t>Satinato - maximálny rozmer 2550 x 1605 mm</t>
  </si>
  <si>
    <t>Satinato - maksymalne wymiary 2550 x 1605 mm</t>
  </si>
  <si>
    <t>Satinato - maximális mérete 2550 x 1605 mm</t>
  </si>
  <si>
    <t>Satinato - maximum possible size 2550 x 1605 mm</t>
  </si>
  <si>
    <t>MASTER SOFT - maximální rozměr 2000 x 1605 mm</t>
  </si>
  <si>
    <t>MASTER SOFT - maximálny rozmer 2000 x 1605 mm</t>
  </si>
  <si>
    <t>MASTER SOFT - maksymalne wymiary 2000 x 1605 mm</t>
  </si>
  <si>
    <t>MASTER SOFT - maximális mérete 2000 x 1605 mm</t>
  </si>
  <si>
    <t>MASTER SOFT - maximum possible size 2000 x 1605 mm</t>
  </si>
  <si>
    <t>Satinato hnědé / Decormat Braz - maximální rozměr 2250 x 1605 mm</t>
  </si>
  <si>
    <t>Satinato hnedé - maximálny rozmer 2250 x 1605 mm</t>
  </si>
  <si>
    <t>Satinato brązowe - maksymalne wymiary 2250 x 1605 mm</t>
  </si>
  <si>
    <t>Satinato barna - maximális mérete 2250 x 1605 mm</t>
  </si>
  <si>
    <t>Satinato brown - maximum possible size 2250 x 1605 mm</t>
  </si>
  <si>
    <t>Satinato grafit / Decormat grafit - maximální rozměr 2250 x 1605 mm</t>
  </si>
  <si>
    <t>Satinato grafit - maximálny rozmer 2250 x 1605 mm</t>
  </si>
  <si>
    <t>Satinato grafit - maksymalne wymiary 2250 x 1605 mm</t>
  </si>
  <si>
    <t>Satinato grafit - maximális mérete 2250 x 1605 mm</t>
  </si>
  <si>
    <t>Satinato graphite - maximum possible size 2250 x 1605 mm</t>
  </si>
  <si>
    <t>Screen - maximální rozměr 2540 x 1850 mm</t>
  </si>
  <si>
    <t>Screen - maximálny rozmer 2540 x 1850 mm</t>
  </si>
  <si>
    <t>Screen - maksymalne wymiary 2540 x 1850 mm</t>
  </si>
  <si>
    <t>Screen - maximális mérete 2540 x 1850 mm</t>
  </si>
  <si>
    <t>Screen - maximum possible size 2540 x 1850 mm</t>
  </si>
  <si>
    <t>Venus VG10 - maximální rozměr 2000 x 1605 mm</t>
  </si>
  <si>
    <t>Venus VG10 - maximálny rozmer 2000 x 1605 mm</t>
  </si>
  <si>
    <t>Venus VG10 - maksymalne wymiary 2000 x 1605 mm</t>
  </si>
  <si>
    <t>Venus VG10 - maximális mérete 2000 x 1605 mm</t>
  </si>
  <si>
    <t>Venus VG10 - maximum possible size 2000 x 1605 mm</t>
  </si>
  <si>
    <t>Stopsol bronz - maximální rozměr 2250 x 1605 mm</t>
  </si>
  <si>
    <t>Stopsol bronz - maximálny rozmer 2250 x 1605 mm</t>
  </si>
  <si>
    <t>Stopsol brąz - maksymalne wymiary 2250 x 1605 mm</t>
  </si>
  <si>
    <t>Stopsol bronz - maximális mérete 2250 x 1605 mm</t>
  </si>
  <si>
    <t>Stopsol bronze - maximum possible size 2250 x 1605 mm</t>
  </si>
  <si>
    <t>Lakomat - maximální rozměr 2550 x 1605 mm</t>
  </si>
  <si>
    <t>Lakomat - maximálny rozmer 2550 x 1605 mm</t>
  </si>
  <si>
    <t>Lakomat - maksymalne wymiary 2550 x 1605 mm</t>
  </si>
  <si>
    <t>Lakomat - maximális mérete 2550 x 1605 mm</t>
  </si>
  <si>
    <t>Lacomatt - maximum possible size 2550 x 1605 mm</t>
  </si>
  <si>
    <t>MASTER FLEX - maximální rozměr 2000 x 1605 mm</t>
  </si>
  <si>
    <t>MASTER FLEX - maximálny rozmer 2000 x 1605 mm</t>
  </si>
  <si>
    <t>MASTER FLEX - maksymalne wymiary 2000 x 1605 mm</t>
  </si>
  <si>
    <t>MASTER FLEX - maximális mérete 2000 x 1605 mm</t>
  </si>
  <si>
    <t>MASTER FLEX - maximum possible size 2000 x 1605 mm</t>
  </si>
  <si>
    <t>Antisol bronz - maximální rozměr 2550 x 1605 mm</t>
  </si>
  <si>
    <t>Antisol bronz - maximálny rozmer 2550 x 1605 mm</t>
  </si>
  <si>
    <t>Antisol brąz - maksymalne wymiary 2550 x 1605 mm</t>
  </si>
  <si>
    <t>Antisol bronz - maximális mérete 2550 x 1605 mm</t>
  </si>
  <si>
    <t>Antisol bronze - maximum possible size 2550 x 1605 mm</t>
  </si>
  <si>
    <t>Antisol grafit - maximální rozměr 2550 x 1605 mm</t>
  </si>
  <si>
    <t>Antisol grafit - maximálny rozmer 2550 x 1605 mm</t>
  </si>
  <si>
    <t>Antisol grafit - maksymalne wymiary 2550 x 1605 mm</t>
  </si>
  <si>
    <t>Antisol grafit - maximális mérete 2550 x 1605 mm</t>
  </si>
  <si>
    <t>Antisol graphite - maximum possible size 2550 x 1605 mm</t>
  </si>
  <si>
    <t>Zrcadlo - maximální rozměr 2550 x 1605 mm</t>
  </si>
  <si>
    <t>Zrkadlo - maximálny rozmer 2550 x 1605 mm</t>
  </si>
  <si>
    <t>Lustro - maksymalne wymiary 2550 x 1605 mm</t>
  </si>
  <si>
    <t>Tükör - maximális mérete 2550 x 1605 mm</t>
  </si>
  <si>
    <t>Mirror - maximum possible size 2550 x 1605 mm</t>
  </si>
  <si>
    <t>Zrcadlo hnědé - maximální rozměr 2250 x 1605 mm</t>
  </si>
  <si>
    <t>Zrkadlo hnedé - maximálny rozmer 2250 x 1605 mm</t>
  </si>
  <si>
    <t>Lustro brązowe - maksymalne wymiary 2250 x 1605 mm</t>
  </si>
  <si>
    <t>Tükör barna - maximális mérete 2250 x 1605 mm</t>
  </si>
  <si>
    <t>Mirror brown - maximum possible size 2250 x 1605 mm</t>
  </si>
  <si>
    <t>Zrcadlo grafit - maximální rozměr 2550 x 1605 mm</t>
  </si>
  <si>
    <t>Zrkadlo grafit - maximálny rozmer 2550 x 1605 mm</t>
  </si>
  <si>
    <t>Lustro grafit - maksymalne wymiary 2550 x 1605 mm</t>
  </si>
  <si>
    <t>Tükör grafit - maximális mérete 2550 x 1605 mm</t>
  </si>
  <si>
    <t>Mirror black - maximum possible size 2550 x 1605 mm</t>
  </si>
  <si>
    <t>VISIOSUN - maximální rozměr 3210 x 2000 mm</t>
  </si>
  <si>
    <t>VISIOSUN - maximálny rozmer 3210 x 2000 mm</t>
  </si>
  <si>
    <t>VISIOSUN - maksymalne wymiary 3210 x 2000 mm</t>
  </si>
  <si>
    <t>VISIOSUN - maximális mérete 3210 x 2000 mm</t>
  </si>
  <si>
    <t>VISIOSUN - maximum possible size 3210 x 2000 mm</t>
  </si>
  <si>
    <t>Krizet - maximální rozměr 2130 x 1650 mm</t>
  </si>
  <si>
    <t>Krizet - maximálny rozmer 2130 x 1650 mm</t>
  </si>
  <si>
    <t>Krizet - maksymalne wymiary 2130 x 1650 mm</t>
  </si>
  <si>
    <t>Krizet - maximális mérete 2130 x 1650 mm</t>
  </si>
  <si>
    <t>Krizet - maximum possible size 2130 x 1650 mm</t>
  </si>
  <si>
    <t>Master (Carre) - maximální rozměr 2000 x 1605 mm</t>
  </si>
  <si>
    <t>Master (Carre) - maximálny rozmer 2000 x 1605 mm</t>
  </si>
  <si>
    <t>Master (Carre) - maksymalne wymiary 2000 x 1605 mm</t>
  </si>
  <si>
    <t>Master (Carre) - maximális mérete 2000 x 1605 mm</t>
  </si>
  <si>
    <t>Master (Carre) - maximum possible size 2000 x 1605 mm</t>
  </si>
  <si>
    <t>Master  Lens  - maximální rozměr 2000 x 1605 mm</t>
  </si>
  <si>
    <t>Master  Lens  - maximálny rozmer 2000 x 1605 mm</t>
  </si>
  <si>
    <t>Master  Lens  - maksymalne wymiary 2000 x 1605 mm</t>
  </si>
  <si>
    <t>Master  Lens  - maximális mérete 2000 x 1605 mm</t>
  </si>
  <si>
    <t>Master  Lens - maximum possible size 2000 x 1605 mm</t>
  </si>
  <si>
    <t>Master  Ligne - maximální rozměr 2000 x 1605 mm</t>
  </si>
  <si>
    <t>Master  Ligne - maximálny rozmer 2000 x 1605 mm</t>
  </si>
  <si>
    <t>Master  Ligne - maksymalne wymiary 2000 x 1605 mm</t>
  </si>
  <si>
    <t>Master  Ligne - maximális mérete 2000 x 1605 mm</t>
  </si>
  <si>
    <t>Master  Ligne - maximum possible size 2000 x 1605 mm</t>
  </si>
  <si>
    <t>Master  Point - maximální rozměr 2000 x 1605 mm</t>
  </si>
  <si>
    <t>Master  Point - maximálny rozmer 2000 x 1605 mm</t>
  </si>
  <si>
    <t>Master  Point - maksymalne wymiary 2000 x 1605 mm</t>
  </si>
  <si>
    <t>Master  Point - maximális mérete 2000 x 1605 mm</t>
  </si>
  <si>
    <t>Master Point - maximum possible size 2000 x 1605 mm</t>
  </si>
  <si>
    <t>FLUTES - maximální rozměr 2540 x 1610 mm</t>
  </si>
  <si>
    <t>FLUTES - maximálny rozmer 2540 x 1610 mm</t>
  </si>
  <si>
    <t>FLUTES - maksymalne wymiary 2540 x 1610 mm</t>
  </si>
  <si>
    <t>FLUTES - maximális mérete 2540 x 1610 mm</t>
  </si>
  <si>
    <t>FLUTES - maximum possible size 2540 x 1610 mm</t>
  </si>
  <si>
    <t>Master  Shine - maximální rozměr 2000 x 1605 mm</t>
  </si>
  <si>
    <t>Master  Shine - maximálny rozmer 2000 x 1605 mm</t>
  </si>
  <si>
    <t>Master  Shine - maksymalne wymiary 2000 x 1605 mm</t>
  </si>
  <si>
    <t>Master  Shine - maximális mérete 2000 x 1605 mm</t>
  </si>
  <si>
    <t>Master  Shine - maximum possible size 2000 x 1605 mm</t>
  </si>
  <si>
    <t>Lacobel RAL 1013 - maximální rozměr 2550 x 1605 mm</t>
  </si>
  <si>
    <t>Lacobel RAL 1013 - maximálny rozmer 2550 x 1605 mm</t>
  </si>
  <si>
    <t>Lacobel RAL 1013 - maksymalne wymiary 2550 x 1605 mm</t>
  </si>
  <si>
    <t>Lacobel RAL 1013 - maximális mérete 2550 x 1605 mm</t>
  </si>
  <si>
    <t>Lacobel RAL 1013 - maximum possible size 2550 x 1605 mm</t>
  </si>
  <si>
    <t>Lacobel RAL 1014 - maximální rozměr 2550 x 1605 mm</t>
  </si>
  <si>
    <t>Lacobel RAL 1014 - maximálny rozmer 2550 x 1605 mm</t>
  </si>
  <si>
    <t>Lacobel RAL 1014 - maksymalne wymiary 2550 x 1605 mm</t>
  </si>
  <si>
    <t>Lacobel RAL 1014 - maximális mérete 2550 x 1605 mm</t>
  </si>
  <si>
    <t>Lacobel RAL 1014 - maximum possible size 2550 x 1605 mm</t>
  </si>
  <si>
    <t>Lacobel RAL 1015 - maximální rozměr 2550 x 1605 mm</t>
  </si>
  <si>
    <t>Lacobel RAL 1015 - maximálny rozmer 2550 x 1605 mm</t>
  </si>
  <si>
    <t>Lacobel RAL 1015 - maksymalne wymiary 2550 x 1605 mm</t>
  </si>
  <si>
    <t>Lacobel RAL 1015 - maximális mérete 2550 x 1605 mm</t>
  </si>
  <si>
    <t>Lacobel RAL 1015 - maximum possible size 2550 x 1605 mm</t>
  </si>
  <si>
    <t>Lacobel RAL 2001 - maximální rozměr 2550 x 1605 mm</t>
  </si>
  <si>
    <t>Lacobel RAL 2001 - maximálny rozmer 2550 x 1605 mm</t>
  </si>
  <si>
    <t>Lacobel RAL 2001 - maksymalne wymiary 2550 x 1605 mm</t>
  </si>
  <si>
    <t>Lacobel RAL 2001 - maximális mérete 2550 x 1605 mm</t>
  </si>
  <si>
    <t>Lacobel RAL 2001 - maximum possible size 2550 x 1605 mm</t>
  </si>
  <si>
    <t>Lacobel RAL 3004 - maximální rozměr 2550 x 1605 mm</t>
  </si>
  <si>
    <t>Lacobel RAL 3004 - maximálny rozmer 2550 x 1605 mm</t>
  </si>
  <si>
    <t>Lacobel RAL 3004 - maksymalne wymiary 2550 x 1605 mm</t>
  </si>
  <si>
    <t>Lacobel RAL 3004 - maximális mérete 2550 x 1605 mm</t>
  </si>
  <si>
    <t>Lacobel RAL 3004 - maximum possible size 2550 x 1605 mm</t>
  </si>
  <si>
    <t>Lacobel RAL 4006 - maximální rozměr 2550 x 1605 mm</t>
  </si>
  <si>
    <t>Lacobel RAL 4006 - maximálny rozmer 2550 x 1605 mm</t>
  </si>
  <si>
    <t>Lacobel RAL 4006 - maksymalne wymiary 2550 x 1605 mm</t>
  </si>
  <si>
    <t>Lacobel RAL 4006 - maximális mérete 2550 x 1605 mm</t>
  </si>
  <si>
    <t>Lacobel RAL 4006 - maximum possible size 2550 x 1605 mm</t>
  </si>
  <si>
    <t>Lacobel RAL 5002 - maximální rozměr 2550 x 1605 mm</t>
  </si>
  <si>
    <t>Lacobel RAL 5002 - maximálny rozmer 2550 x 1605 mm</t>
  </si>
  <si>
    <t>Lacobel RAL 5002 - maksymalne wymiary 2550 x 1605 mm</t>
  </si>
  <si>
    <t>Lacobel RAL 5002 - maximális mérete 2550 x 1605 mm</t>
  </si>
  <si>
    <t>Lacobel RAL 5002 - maximum possible size 2550 x 1605 mm</t>
  </si>
  <si>
    <t>Lacobel RAL 7035 - maximální rozměr 2550 x 1605 mm</t>
  </si>
  <si>
    <t>Lacobel RAL 7035 - maximálny rozmer 2550 x 1605 mm</t>
  </si>
  <si>
    <t>Lacobel RAL 7035 - maksymalne wymiary 2550 x 1605 mm</t>
  </si>
  <si>
    <t>Lacobel RAL 7035 - maximális mérete 2550 x 1605 mm</t>
  </si>
  <si>
    <t>Lacobel RAL 7035 - maximum possible size 2550 x 1605 mm</t>
  </si>
  <si>
    <t>Lacobel RAL 8017 - maximální rozměr 2550 x 1605 mm</t>
  </si>
  <si>
    <t>Lacobel RAL 8017 - maximálny rozmer 2550 x 1605 mm</t>
  </si>
  <si>
    <t>Lacobel RAL 8017 - maksymalne wymiary 2550 x 1605 mm</t>
  </si>
  <si>
    <t>Lacobel RAL 8017 - maximális mérete 2550 x 1605 mm</t>
  </si>
  <si>
    <t>Lacobel RAL 8017 - maximum possible size 2550 x 1605 mm</t>
  </si>
  <si>
    <t>Lacobel RAL 9003 - maximální rozměr 2550 x 1605 mm</t>
  </si>
  <si>
    <t>Lacobel RAL 9003 - maximálny rozmer 2550 x 1605 mm</t>
  </si>
  <si>
    <t>Lacobel RAL 9003 - maksymalne wymiary 2550 x 1605 mm</t>
  </si>
  <si>
    <t>Lacobel RAL 9003 - maximális mérete 2550 x 1605 mm</t>
  </si>
  <si>
    <t>Lacobel RAL 9003 - maximum possible size 2550 x 1605 mm</t>
  </si>
  <si>
    <t>Lacobel RAL 9005 - maximální rozměr 2550 x 1605 mm</t>
  </si>
  <si>
    <t>Lacobel RAL 9005 - maximálny rozmer 2550 x 1605 mm</t>
  </si>
  <si>
    <t>Lacobel RAL 9005 - maksymalne wymiary 2550 x 1605 mm</t>
  </si>
  <si>
    <t>Lacobel RAL 9005 - maximális mérete 2550 x 1605 mm</t>
  </si>
  <si>
    <t>Lacobel RAL 9005 - maximum possible size 2550 x 1605 mm</t>
  </si>
  <si>
    <t>Lacobel RAL 9006 - maximální rozměr 2550 x 1605 mm</t>
  </si>
  <si>
    <t>Lacobel RAL 9006 - maximálny rozmer 2550 x 1605 mm</t>
  </si>
  <si>
    <t>Lacobel RAL 9006 - maksymalne wymiary 2550 x 1605 mm</t>
  </si>
  <si>
    <t>Lacobel RAL 9006 - maximális mérete 2550 x 1605 mm</t>
  </si>
  <si>
    <t>Lacobel RAL 9006 - maximum possible size 2550 x 1605 mm</t>
  </si>
  <si>
    <t>Lacobel RAL 9007 - maximální rozměr 2550 x 1605 mm</t>
  </si>
  <si>
    <t>Lacobel RAL 9007 - maximálny rozmer 2550 x 1605 mm</t>
  </si>
  <si>
    <t>Lacobel RAL 9007 - maksymalne wymiary 2550 x 1605 mm</t>
  </si>
  <si>
    <t>Lacobel RAL 9007 - maximális mérete 2550 x 1605 mm</t>
  </si>
  <si>
    <t>Lacobel RAL 9007 - maximum possible size 2550 x 1605 mm</t>
  </si>
  <si>
    <t>Lacobel RAL 9010 - maximální rozměr 2550 x 1605 mm</t>
  </si>
  <si>
    <t>Lacobel RAL 9010 - maximálny rozmer 2550 x 1605 mm</t>
  </si>
  <si>
    <t>Lacobel RAL 9010 - maksymalne wymiary 2550 x 1605 mm</t>
  </si>
  <si>
    <t>Lacobel RAL 9010 - maximális mérete 2550 x 1605 mm</t>
  </si>
  <si>
    <t>Lacobel RAL 9010 - maximum possible size 2550 x 1605 mm</t>
  </si>
  <si>
    <t>Lacobel RAL 0128 - maximální rozměr 2550 x 1605 mm</t>
  </si>
  <si>
    <t>Lacobel RAL 0128 - maximálny rozmer 2550 x 1605 mm</t>
  </si>
  <si>
    <t>Lacobel RAL 0128 - maksymalne wymiary 2550 x 1605 mm</t>
  </si>
  <si>
    <t>Lacobel RAL 0128 - maximális mérete 2550 x 1605 mm</t>
  </si>
  <si>
    <t>Lacobel RAL 0128 - maximum possible size 2550 x 1605 mm</t>
  </si>
  <si>
    <t>Lacobel RAL 0327 - maximální rozměr 2550 x 1605 mm</t>
  </si>
  <si>
    <t>Lacobel RAL 0327 - maximálny rozmer 2550 x 1605 mm</t>
  </si>
  <si>
    <t>Lacobel RAL 0327 - maksymalne wymiary 2550 x 1605 mm</t>
  </si>
  <si>
    <t>Lacobel RAL 0327 - maximális mérete 2550 x 1605 mm</t>
  </si>
  <si>
    <t>Lacobel RAL 0327 - maximum possible size 2550 x 1605 mm</t>
  </si>
  <si>
    <t>Lacobel RAL 0667 - maximální rozměr 2550 x 1605 mm</t>
  </si>
  <si>
    <t>Lacobel RAL 0667 - maximálny rozmer 2550 x 1605 mm</t>
  </si>
  <si>
    <t>Lacobel RAL 0667 - maksymalne wymiary 2550 x 1605 mm</t>
  </si>
  <si>
    <t>Lacobel RAL 0667 - maximális mérete 2550 x 1605 mm</t>
  </si>
  <si>
    <t>Lacobel RAL 0667 - maximum possible size 2550 x 1605 mm</t>
  </si>
  <si>
    <t>Lacobel RAL 1164 - maximální rozměr 2550 x 1605 mm</t>
  </si>
  <si>
    <t>Lacobel RAL 1164 - maximálny rozmer 2550 x 1605 mm</t>
  </si>
  <si>
    <t>Lacobel RAL 1164 - maksymalne wymiary 2550 x 1605 mm</t>
  </si>
  <si>
    <t>Lacobel RAL 1164 - maximális mérete 2550 x 1605 mm</t>
  </si>
  <si>
    <t>Lacobel RAL 1164 - maximum possible size 2550 x 1605 mm</t>
  </si>
  <si>
    <t>Lacobel RAL 1435 - maximální rozměr 2550 x 1605 mm</t>
  </si>
  <si>
    <t>Lacobel RAL 1435 - maximálny rozmer 2550 x 1605 mm</t>
  </si>
  <si>
    <t>Lacobel RAL 1435 - maksymalne wymiary 2550 x 1605 mm</t>
  </si>
  <si>
    <t>Lacobel RAL 1435 - maximális mérete 2550 x 1605 mm</t>
  </si>
  <si>
    <t>Lacobel RAL 1435 - maximum possible size 2550 x 1605 mm</t>
  </si>
  <si>
    <t>Lacobel RAL 1603 - maximální rozměr 2550 x 1605 mm</t>
  </si>
  <si>
    <t>Lacobel RAL 1603 - maximálny rozmer 2550 x 1605 mm</t>
  </si>
  <si>
    <t>Lacobel RAL 1603 - maksymalne wymiary 2550 x 1605 mm</t>
  </si>
  <si>
    <t>Lacobel RAL 1603 - maximális mérete 2550 x 1605 mm</t>
  </si>
  <si>
    <t>Lacobel RAL 1603 - maximum possible size 2550 x 1605 mm</t>
  </si>
  <si>
    <t>Lacobel RAL 1604 - maximální rozměr 2550 x 1605 mm</t>
  </si>
  <si>
    <t>Lacobel RAL 1604 - maximálny rozmer 2550 x 1605 mm</t>
  </si>
  <si>
    <t>Lacobel RAL 1604 - maksymalne wymiary 2550 x 1605 mm</t>
  </si>
  <si>
    <t>Lacobel RAL 1604 - maximális mérete 2550 x 1605 mm</t>
  </si>
  <si>
    <t>Lacobel RAL 1604 - maximum possible size 2550 x 1605 mm</t>
  </si>
  <si>
    <t>Matelac RAL 2001 - maximální rozměr 2550 x 1605 mm</t>
  </si>
  <si>
    <t>Matelac RAL 2001 - maximálny rozmer 2550 x 1605 mm</t>
  </si>
  <si>
    <t>Matelac RAL 2001 - maksymalne wymiary 2550 x 1605 mm</t>
  </si>
  <si>
    <t>Matelac RAL 2001 - maximális mérete 2550 x 1605 mm</t>
  </si>
  <si>
    <t>Matelac RAL 2001 - maximum possible size 2550 x 1605 mm</t>
  </si>
  <si>
    <t>Matelac RAL 3004 - maximální rozměr 2550 x 1605 mm</t>
  </si>
  <si>
    <t>Matelac RAL 3004 - maximálny rozmer 2550 x 1605 mm</t>
  </si>
  <si>
    <t>Matelac RAL 3004 - maksymalne wymiary 2550 x 1605 mm</t>
  </si>
  <si>
    <t>Matelac RAL 3004 - maximális mérete 2550 x 1605 mm</t>
  </si>
  <si>
    <t>Matelac RAL 3004 - maximum possible size 2550 x 1605 mm</t>
  </si>
  <si>
    <t>Matelac RAL 7021 - maximální rozměr 2550 x 1605 mm</t>
  </si>
  <si>
    <t>Matelac RAL 7021 - maximálny rozmer 2550 x 1605 mm</t>
  </si>
  <si>
    <t>Matelac RAL 7021 - maksymalne wymiary 2550 x 1605 mm</t>
  </si>
  <si>
    <t>Matelac RAL 7021 - maximális mérete 2550 x 1605 mm</t>
  </si>
  <si>
    <t>Matelac RAL 7021 - maximum possible size 2550 x 1605 mm</t>
  </si>
  <si>
    <t>Matelac RAL 9003 - maximální rozměr 2550 x 1605 mm</t>
  </si>
  <si>
    <t>Matelac RAL 9003 - maximálny rozmer 2550 x 1605 mm</t>
  </si>
  <si>
    <t>Matelac RAL 9003 - maksymalne wymiary 2550 x 1605 mm</t>
  </si>
  <si>
    <t>Matelac RAL 9003 - maximális mérete 2550 x 1605 mm</t>
  </si>
  <si>
    <t>Matelac RAL 9003 - maximum possible size 2550 x 1605 mm</t>
  </si>
  <si>
    <t>Matelac RAL 9005 - maximální rozměr 2550 x 1605 mm</t>
  </si>
  <si>
    <t>Matelac RAL 9005 - maximálny rozmer 2550 x 1605 mm</t>
  </si>
  <si>
    <t>Matelac RAL 9005 - maksymalne wymiary 2550 x 1605 mm</t>
  </si>
  <si>
    <t>Matelac RAL 9005 - maximális mérete 2550 x 1605 mm</t>
  </si>
  <si>
    <t>Matelac RAL 9005 - maximum possible size 2550 x 1605 mm</t>
  </si>
  <si>
    <t>Matelac RAL 9006 - maximální rozměr 2550 x 1605 mm</t>
  </si>
  <si>
    <t>Matelac RAL 9006 - maximálny rozmer 2550 x 1605 mm</t>
  </si>
  <si>
    <t>Matelac RAL 9006 - maksymalne wymiary 2550 x 1605 mm</t>
  </si>
  <si>
    <t>Matelac RAL 9006 - maximális mérete 2550 x 1605 mm</t>
  </si>
  <si>
    <t>Matelac RAL 9006 - maximum possible size 2550 x 1605 mm</t>
  </si>
  <si>
    <t>Matelac RAL 9010 - maximální rozměr 2550 x 1605 mm</t>
  </si>
  <si>
    <t>Matelac RAL 9010 - maximálny rozmer 2550 x 1605 mm</t>
  </si>
  <si>
    <t>Matelac RAL 9010 - maksymalne wymiary 2550 x 1605 mm</t>
  </si>
  <si>
    <t>Matelac RAL 9010 - maximális mérete 2550 x 1605 mm</t>
  </si>
  <si>
    <t>Matelac RAL 9010 - maximum possible size 2550 x 1605 mm</t>
  </si>
  <si>
    <t>Matelac RAL 1435 - maximální rozměr 2550 x 1605 mm</t>
  </si>
  <si>
    <t>Matelac RAL 1435 - maximálny rozmer 2550 x 1605 mm</t>
  </si>
  <si>
    <t>Matelac RAL 1435 - maksymalne wymiary 2550 x 1605 mm</t>
  </si>
  <si>
    <t>Matelac RAL 1435 - maximális mérete 2550 x 1605 mm</t>
  </si>
  <si>
    <t>Matelac RAL 1435 - maximum possible size 2550 x 1605 mm</t>
  </si>
  <si>
    <t>Matelac RAL 1586 - maximální rozměr 2550 x 1605 mm</t>
  </si>
  <si>
    <t>Matelac RAL 1586 - maximálny rozmer 2550 x 1605 mm</t>
  </si>
  <si>
    <t>Matelac RAL 1586 - maksymalne wymiary 2550 x 1605 mm</t>
  </si>
  <si>
    <t>Matelac RAL 1586 - maximális mérete 2550 x 1605 mm</t>
  </si>
  <si>
    <t>Matelac RAL 1586 - maximum possible size 2550 x 1605 mm</t>
  </si>
  <si>
    <t>Matelac zrcadlo bronz - maximální rozměr 2550 x 1605 mm</t>
  </si>
  <si>
    <t>Matelac zrkadlo bronz - maximálny rozmer 2550 x 1605 mm</t>
  </si>
  <si>
    <t>Matelac lustro bronz - maksymalne wymiary 2550 x 1605 mm</t>
  </si>
  <si>
    <t>Matelac tükör bronz - maximális mérete 2550 x 1605 mm</t>
  </si>
  <si>
    <t>Matelac mirror bronze - maximum possible size 2550 x 1605 mm</t>
  </si>
  <si>
    <t>Optiwhite - maximální rozměr 2550 x 1605 mm</t>
  </si>
  <si>
    <t>Optiwhite - maximálny rozmer 2550 x 1605 mm</t>
  </si>
  <si>
    <t>Optiwhite - maksymalne wymiary 2550 x 1605 mm</t>
  </si>
  <si>
    <t>Optiwhite - maximális mérete 2550 x 1605 mm</t>
  </si>
  <si>
    <t>Optiwhite - maximum possible size 2550 x 1605 mm</t>
  </si>
  <si>
    <t>Matelac zrcadlo grafit - maximální rozměr 2550 x 1605 mm</t>
  </si>
  <si>
    <t>Matelac zrkadlo grafit - maximálny rozmer 2550 x 1605 mm</t>
  </si>
  <si>
    <t>Matelac lustro grafit - maksymalne wymiary 2550 x 1605 mm</t>
  </si>
  <si>
    <t>Matelac tükör grafit - maximális mérete 2550 x 1605 mm</t>
  </si>
  <si>
    <t>Matelac mirror graphite - maximum possible size 2550 x 1605 mm</t>
  </si>
  <si>
    <t>Matelac zrcadlo stříbr. - maximální rozměr 2550 x 1605 mm</t>
  </si>
  <si>
    <t>Matelac zrkadlo strieb. - maximálny rozmer 2550 x 1605 mm</t>
  </si>
  <si>
    <t>Matelac lustro srebrny - maksymalne wymiary 2550 x 1605 mm</t>
  </si>
  <si>
    <t>Matelac tükör ezüst - maximális mérete 2550 x 1605 mm</t>
  </si>
  <si>
    <t>Matelac mirror silver. - maximum possible size 2550 x 1605 mm</t>
  </si>
  <si>
    <t>síťka alu zlatá - maximální rozměr 1000 x 500 mm</t>
  </si>
  <si>
    <t>sieťka alu zlatá - maximálny rozmer 1000 x 500 mm</t>
  </si>
  <si>
    <t>siatka alu złota - maksymalne wymiary 1000 x 500 mm</t>
  </si>
  <si>
    <t>Arany alu háló / siatka alu złota - maximális mérete 1000 x 500 mm</t>
  </si>
  <si>
    <t xml:space="preserve"> mesh aluminum gold - maximum possible size 1000 x 500 mm</t>
  </si>
  <si>
    <t>síťka ocel černá mat - maximální rozměr 1000 x 500 mm</t>
  </si>
  <si>
    <t>sieťka ocel čierna mat - maximálny rozmer 1000 x 500 mm</t>
  </si>
  <si>
    <t>siatka stalowa czarna matowa - maksymalne wymiary 1000 x 500 mm</t>
  </si>
  <si>
    <t>Háló acél fekete matt / siatka stalowa czarna matowa - maximális mérete 1000 x 500 mm</t>
  </si>
  <si>
    <t>mesh steel black matt - maximum possible size 1000 x 500 mm</t>
  </si>
  <si>
    <t>síťka ocel bílá - maximální rozměr 1000 x 500 mm</t>
  </si>
  <si>
    <t>sieťka ocel biela - maximálny rozmer 1000 x 500 mm</t>
  </si>
  <si>
    <t>siatka stalowa biała - maksymalne wymiary 1000 x 500 mm</t>
  </si>
  <si>
    <t>Háló acél fehér / siatka stalowa biała - maximális mérete 1000 x 500 mm</t>
  </si>
  <si>
    <t>mesh steel white - maximum possible size 1000 x 500 mm</t>
  </si>
  <si>
    <t>síťka elox - maximální rozměr 1000 x 500 mm</t>
  </si>
  <si>
    <t>sieťka elox - maximálny rozmer 1000 x 500 mm</t>
  </si>
  <si>
    <t>siatka elox - maksymalne wymiary 1000 x 500 mm</t>
  </si>
  <si>
    <t>Háló eloxált / siatka elox - maximális mérete 1000 x 500 mm</t>
  </si>
  <si>
    <t>mesh anodized - maximum possible size 1000 x 500 mm</t>
  </si>
  <si>
    <t xml:space="preserve"> Venus VG10</t>
  </si>
  <si>
    <t>Decormat brązowe</t>
  </si>
  <si>
    <t xml:space="preserve">Decormat grafit </t>
  </si>
  <si>
    <t>Výplň rámčeka sieťka</t>
  </si>
  <si>
    <t>Brúsenie hrán</t>
  </si>
  <si>
    <t>Szlifowanie krawędzi</t>
  </si>
  <si>
    <t>Edge finishing</t>
  </si>
  <si>
    <t>Élcsiszolás</t>
  </si>
  <si>
    <t>ASTI fekete matt</t>
  </si>
  <si>
    <t>BRW champagne világos</t>
  </si>
  <si>
    <t>ROMA fekete matt</t>
  </si>
  <si>
    <t>ROMA GRIP fekete matt</t>
  </si>
  <si>
    <t>Varna elox (Vlevo a Vpravo) + Siena elox (Nahoře a dole)</t>
  </si>
  <si>
    <t>Siena elox (Vlevo a vpravo) + Varna elox (Nahoře a dole)</t>
  </si>
  <si>
    <t>Varna elox (Vlevo a Vpravo) + Palio elox (Nahoře a dole)</t>
  </si>
  <si>
    <t>Palio elox (Vlevo a vpravo) + Varna elox (Nahoře a dole)</t>
  </si>
  <si>
    <t>Varna elox (Vlevo a Vpravo) + Rocca elox (Nahoře a dole)</t>
  </si>
  <si>
    <t>Rocca elox (Vlevo a vpravo) + Varna elox (Nahoře a dole)</t>
  </si>
  <si>
    <t>Varna elox (Vľavo a Vpravo) + Siena elox (Hore a dole)</t>
  </si>
  <si>
    <t>Siena elox (Vľavo a vpravo) + Varna elox (Hore a dole)</t>
  </si>
  <si>
    <t>Varna elox (Vľavo a Vpravo) + Palio elox (Hore a dole)</t>
  </si>
  <si>
    <t>Palio elox (Vľavo a vpravo) + Varna elox (Hore a dole)</t>
  </si>
  <si>
    <t>Varna elox (Vľavo a Vpravo) + Rocca elox (Hore a dole)</t>
  </si>
  <si>
    <t>Rocca elox (Vľavo a vpravo) + Varna elox (Hore a dole)</t>
  </si>
  <si>
    <t>Warna elox (lewa i prawa) + Siena elox (góra i dół)</t>
  </si>
  <si>
    <t>Varna elox (elox.)</t>
  </si>
  <si>
    <t>Varna elox (Left and Right) + Siena (Top and Bottom)</t>
  </si>
  <si>
    <t>Varna elox (Left and Right) + Palio (Top and Bottom)</t>
  </si>
  <si>
    <t>Varna elox (Left and Right) + Rocca (Top and Bottom)</t>
  </si>
  <si>
    <t>Varna elox (Left and Right) + Siena elox (Top and Bottom)</t>
  </si>
  <si>
    <t>Siena elox (lewa i prawa) + Warna elox (góra i dół)</t>
  </si>
  <si>
    <t>Siena elox (Left and Right) + Varna elox (Top and Bottom)</t>
  </si>
  <si>
    <t>Warna elox (lewa i prawa) + Palio elox (góra i dół)</t>
  </si>
  <si>
    <t>Varna elox (Left and Right) + Palio elox (Top and Bottom)</t>
  </si>
  <si>
    <t>Palio elox (lewy i prawy) + Warna elox (góra i dół)</t>
  </si>
  <si>
    <t>Palio elox (Left and Right) + Varna elox (Top and Bottom)</t>
  </si>
  <si>
    <t>Warna elox (lewa i prawa) + Rocca elox (góra i dół)</t>
  </si>
  <si>
    <t>Varna elox (Left and Right) + Rocca elox (Top and Bottom)</t>
  </si>
  <si>
    <t>Rocca elox (lewa i prawa) + Varna elox (góra i dół)</t>
  </si>
  <si>
    <t>Rocca elox (Left and Right) + Varna elox (Top and Bottom)</t>
  </si>
  <si>
    <t>Várna elox (bal és jobb) + Siena elox (fent és alul)</t>
  </si>
  <si>
    <t>Siena elox (bal és jobb) + Várna elox (felső és alsó)</t>
  </si>
  <si>
    <t>Várna elox (bal és jobb) + Palio elox (felső és alsó)</t>
  </si>
  <si>
    <t>Palio elox (bal és jobb) + Várna elox (felső és alsó)</t>
  </si>
  <si>
    <t>Várna elox (bal és jobb) + Rocca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</si>
  <si>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</si>
  <si>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</si>
  <si>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</si>
  <si>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</si>
  <si>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</si>
  <si>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</si>
  <si>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</si>
  <si>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</si>
  <si>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</si>
  <si>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</si>
  <si>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</si>
  <si>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</si>
  <si>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</si>
  <si>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</si>
  <si>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</si>
  <si>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</si>
  <si>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</si>
  <si>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</si>
  <si>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</si>
  <si>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</si>
  <si>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</si>
  <si>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</si>
  <si>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</si>
  <si>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</si>
  <si>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</si>
  <si>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</si>
  <si>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</si>
  <si>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</si>
  <si>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</si>
  <si>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</si>
  <si>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</si>
  <si>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</si>
  <si>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</si>
  <si>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</si>
  <si>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</si>
  <si>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</si>
  <si>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</si>
  <si>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</si>
  <si>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</si>
  <si>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</si>
  <si>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</si>
  <si>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</si>
  <si>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</si>
  <si>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</si>
  <si>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</si>
  <si>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</si>
  <si>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</si>
  <si>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</si>
  <si>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</si>
  <si>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</si>
  <si>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</si>
  <si>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</si>
  <si>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</si>
  <si>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</si>
  <si>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</si>
  <si>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</si>
  <si>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</si>
  <si>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</si>
  <si>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</si>
  <si>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</si>
  <si>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</si>
  <si>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</si>
  <si>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</si>
  <si>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</si>
  <si>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</si>
  <si>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</si>
  <si>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</si>
  <si>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</si>
  <si>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</si>
  <si>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</si>
  <si>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</si>
  <si>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</si>
  <si>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</si>
  <si>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</si>
  <si>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</si>
  <si>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</si>
  <si>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</si>
  <si>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</si>
  <si>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</si>
  <si>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</si>
  <si>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</si>
  <si>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</si>
  <si>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</si>
  <si>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</si>
  <si>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</si>
  <si>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</si>
  <si>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</si>
  <si>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</si>
  <si>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</si>
  <si>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</si>
  <si>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</si>
  <si>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</si>
  <si>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</si>
  <si>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</si>
  <si>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</si>
  <si>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</si>
  <si>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</si>
  <si>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</si>
  <si>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</si>
  <si>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</si>
  <si>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</si>
  <si>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</si>
  <si>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</si>
  <si>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</si>
  <si>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</si>
  <si>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</si>
  <si>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</si>
  <si>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</si>
  <si>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</si>
  <si>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Venus VG10 - maximální rozměr 3210 x 2250 mm</t>
  </si>
  <si>
    <t>Venus VG10 - maximálny rozmer 3210 x 2250 mm</t>
  </si>
  <si>
    <t>Venus VG10 - maksymalne wymiary 3210 x 2250 mm</t>
  </si>
  <si>
    <t>Venus VG10 - maximális mérete 3210 x 2250 mm</t>
  </si>
  <si>
    <t>Venus VG10 - maximum possible size 3210 x 2250 mm</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</si>
  <si>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</si>
  <si>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</si>
  <si>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</si>
  <si>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</si>
  <si>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</si>
  <si>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</si>
  <si>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</si>
  <si>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</si>
  <si>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</si>
  <si>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</si>
  <si>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</si>
  <si>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</si>
  <si>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</si>
  <si>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</si>
  <si>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</si>
  <si>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</si>
  <si>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</si>
  <si>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</si>
  <si>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</si>
  <si>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</si>
  <si>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</si>
  <si>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közézáródó csillapítós</t>
  </si>
  <si>
    <t>horní</t>
  </si>
  <si>
    <t>gorny</t>
  </si>
  <si>
    <t>dolny</t>
  </si>
  <si>
    <t>felső</t>
  </si>
  <si>
    <t>alsó</t>
  </si>
  <si>
    <t>upper</t>
  </si>
  <si>
    <t>korpusz pánt</t>
  </si>
  <si>
    <t>Úzky</t>
  </si>
  <si>
    <t>spodní_K12</t>
  </si>
  <si>
    <t>spodní_kraby</t>
  </si>
  <si>
    <t>hettich z tłumieniem 300279</t>
  </si>
  <si>
    <t>strong z tłumieniem 350863</t>
  </si>
  <si>
    <t>strong z tłumieniem 92584T</t>
  </si>
  <si>
    <t>_Úzký_dolny_K12</t>
  </si>
  <si>
    <t>hettich dolny 300282</t>
  </si>
  <si>
    <t>blum dolny 12106</t>
  </si>
  <si>
    <t>strong dolny 350863</t>
  </si>
  <si>
    <t>hettich dolny 232346</t>
  </si>
  <si>
    <t>blum dolny 12052</t>
  </si>
  <si>
    <t>strong dolny 350834</t>
  </si>
  <si>
    <t>_široký_dolny_K12</t>
  </si>
  <si>
    <t>_Úzký_dolny_Kraby</t>
  </si>
  <si>
    <t>_široký_dolny_Kraby</t>
  </si>
  <si>
    <t>hettich z tłumieniem 104717</t>
  </si>
  <si>
    <t>blum z tłumieniem 12047</t>
  </si>
  <si>
    <t>strong z tłumieniem 350827</t>
  </si>
  <si>
    <t>_široký_Stronglift_gorny</t>
  </si>
  <si>
    <t>_Úzký_Stronglift_dolny</t>
  </si>
  <si>
    <t>_široký_Stronglift_dolny</t>
  </si>
  <si>
    <t>_Úzký_alsó_K12</t>
  </si>
  <si>
    <t>hettich alsó 300282</t>
  </si>
  <si>
    <t>blum alsó 12106</t>
  </si>
  <si>
    <t>strong alsó 350863</t>
  </si>
  <si>
    <t>_široký_alsó_K12</t>
  </si>
  <si>
    <t>hettich alsó 232346</t>
  </si>
  <si>
    <t>blum alsó 12052</t>
  </si>
  <si>
    <t>strong alsó 350834</t>
  </si>
  <si>
    <t>_Úzký_alsó_Kraby</t>
  </si>
  <si>
    <t>_široký_alsó_Kraby</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</si>
  <si>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</si>
  <si>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</si>
  <si>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</si>
  <si>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</si>
  <si>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</si>
  <si>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</si>
  <si>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</si>
  <si>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</si>
  <si>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</si>
  <si>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</si>
  <si>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_Úzký_Stronglift_gorny</t>
  </si>
  <si>
    <t>_Úzký_Stronglift_felső</t>
  </si>
  <si>
    <t>_široký_Stronglift_felső</t>
  </si>
  <si>
    <t>_Úzký_Stronglift_alsó</t>
  </si>
  <si>
    <t>_široký_Stronglift_alsó</t>
  </si>
  <si>
    <t>Lacobel RAL 0128</t>
  </si>
  <si>
    <t>Lacobel RAL 0327</t>
  </si>
  <si>
    <t>Lacobel RAL 0667</t>
  </si>
  <si>
    <t>Lacobel RAL 1164</t>
  </si>
  <si>
    <t>Lacobel RAL 1435</t>
  </si>
  <si>
    <t>Lacobel RAL 1603</t>
  </si>
  <si>
    <t>Lacobel RAL 1604</t>
  </si>
  <si>
    <t>Matelac RAL 1435</t>
  </si>
  <si>
    <t>Matelac RAL 1586</t>
  </si>
  <si>
    <t>StrongLifts podnośnik</t>
  </si>
  <si>
    <t>Dólne K12</t>
  </si>
  <si>
    <t>Dólne Kraby</t>
  </si>
  <si>
    <t>upper_K12</t>
  </si>
  <si>
    <t>bottom_kraby</t>
  </si>
  <si>
    <t>Ceny jsou platné od 17.6.2024/Verze 5.0</t>
  </si>
  <si>
    <t>Ceny sú platné od 17.6.2024/Verzia 5.0</t>
  </si>
  <si>
    <t>Ceny obowiązują od 17.6.2024/Wersja 5.0</t>
  </si>
  <si>
    <t>Az árak érvényesek 17.6.2024 -től/5.0 - es változat</t>
  </si>
  <si>
    <t>Prices are valid from 17.6.2024/Version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</si>
</sst>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Kč&quot;_-;\-* #,##0.00\ &quot;Kč&quot;_-;_-* &quot;-&quot;??\ &quot;Kč&quot;_-;_-@_-"/>
    <numFmt numFmtId="164" formatCode="&quot;&lt;— &quot;#####&quot; mm —&gt;&quot;"/>
    <numFmt numFmtId="165" formatCode="#####&quot; mm&quot;"/>
    <numFmt numFmtId="166" formatCode="#####&quot; ks&quot;"/>
    <numFmt numFmtId="167" formatCode="[$-1010405]###\ ###\ ###\ ###\ ###\ ##0.0000"/>
    <numFmt numFmtId="168" formatCode="_-* #,##0.00\ [$€-1]_-;\-* #,##0.00\ [$€-1]_-;_-* &quot;-&quot;??\ [$€-1]_-;_-@_-"/>
    <numFmt numFmtId="169" formatCode="&quot;&lt;— &quot;#####&quot;&quot;"/>
  </numFmts>
  <fonts count="104">
    <font>
      <sz val="11"/>
      <color theme="1"/>
      <name val="Calibri"/>
      <family val="2"/>
      <charset val="238"/>
      <scheme val="minor"/>
    </font>
    <font>
      <sz val="10"/>
      <name val="Arial"/>
      <family val="2"/>
      <charset val="238"/>
    </font>
    <font>
      <sz val="11"/>
      <color indexed="8"/>
      <name val="Calibri"/>
      <family val="2"/>
      <charset val="238"/>
    </font>
    <font>
      <b/>
      <sz val="10"/>
      <color indexed="8"/>
      <name val="Arial"/>
      <family val="2"/>
      <charset val="238"/>
    </font>
    <font>
      <sz val="8"/>
      <name val="Calibri"/>
      <family val="2"/>
      <charset val="238"/>
    </font>
    <font>
      <b/>
      <sz val="9"/>
      <color indexed="81"/>
      <name val="Tahoma"/>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b/>
      <sz val="20"/>
      <color rgb="FFFF0000"/>
      <name val="Calibri"/>
      <family val="2"/>
      <charset val="238"/>
      <scheme val="minor"/>
    </font>
    <font>
      <b/>
      <sz val="20"/>
      <color theme="1"/>
      <name val="Calibri"/>
      <family val="2"/>
      <charset val="238"/>
      <scheme val="minor"/>
    </font>
    <font>
      <sz val="11"/>
      <color theme="0" tint="-0.14999847407452621"/>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u/>
      <sz val="48"/>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26"/>
      <color theme="1"/>
      <name val="Calibri"/>
      <family val="2"/>
      <charset val="238"/>
      <scheme val="minor"/>
    </font>
    <font>
      <sz val="10"/>
      <color theme="1"/>
      <name val="Arial"/>
      <family val="2"/>
      <charset val="238"/>
    </font>
    <font>
      <sz val="10.5"/>
      <color theme="1"/>
      <name val="Consolas"/>
      <family val="3"/>
      <charset val="238"/>
    </font>
    <font>
      <sz val="8"/>
      <color rgb="FFFF0000"/>
      <name val="Calibri"/>
      <family val="2"/>
      <charset val="238"/>
      <scheme val="minor"/>
    </font>
    <font>
      <sz val="10"/>
      <name val="Calibri"/>
      <family val="2"/>
      <charset val="238"/>
      <scheme val="minor"/>
    </font>
    <font>
      <sz val="18"/>
      <color theme="1"/>
      <name val="Calibri"/>
      <family val="2"/>
      <charset val="238"/>
      <scheme val="minor"/>
    </font>
    <font>
      <sz val="20"/>
      <color theme="1"/>
      <name val="Calibri"/>
      <family val="2"/>
      <charset val="238"/>
      <scheme val="minor"/>
    </font>
    <font>
      <sz val="14"/>
      <color rgb="FFFF0000"/>
      <name val="Calibri"/>
      <family val="2"/>
      <charset val="238"/>
      <scheme val="minor"/>
    </font>
    <font>
      <sz val="16"/>
      <color rgb="FFFF0000"/>
      <name val="Calibri"/>
      <family val="2"/>
      <charset val="238"/>
      <scheme val="minor"/>
    </font>
    <font>
      <sz val="10"/>
      <color rgb="FFFF0000"/>
      <name val="Calibri"/>
      <family val="2"/>
      <charset val="238"/>
      <scheme val="minor"/>
    </font>
    <font>
      <b/>
      <sz val="14"/>
      <color rgb="FFFF0000"/>
      <name val="Calibri"/>
      <family val="2"/>
      <charset val="238"/>
      <scheme val="minor"/>
    </font>
    <font>
      <b/>
      <sz val="12"/>
      <color rgb="FFFF0000"/>
      <name val="Calibri"/>
      <family val="2"/>
      <charset val="238"/>
      <scheme val="minor"/>
    </font>
    <font>
      <sz val="12"/>
      <color rgb="FFFF0000"/>
      <name val="Calibri"/>
      <family val="2"/>
      <charset val="238"/>
      <scheme val="minor"/>
    </font>
    <font>
      <b/>
      <sz val="11"/>
      <color rgb="FF00206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sz val="18"/>
      <color theme="0"/>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b/>
      <sz val="20"/>
      <color theme="0"/>
      <name val="Calibri"/>
      <family val="2"/>
      <charset val="238"/>
      <scheme val="minor"/>
    </font>
    <font>
      <u/>
      <sz val="12"/>
      <color theme="10"/>
      <name val="Calibri"/>
      <family val="2"/>
      <charset val="238"/>
    </font>
    <font>
      <b/>
      <sz val="16"/>
      <color rgb="FFFFFF00"/>
      <name val="Calibri"/>
      <family val="2"/>
      <charset val="238"/>
      <scheme val="minor"/>
    </font>
    <font>
      <b/>
      <sz val="18"/>
      <color rgb="FFFF0000"/>
      <name val="Calibri"/>
      <family val="2"/>
      <charset val="238"/>
      <scheme val="minor"/>
    </font>
    <font>
      <sz val="22"/>
      <color theme="1"/>
      <name val="Calibri"/>
      <family val="2"/>
      <charset val="238"/>
      <scheme val="minor"/>
    </font>
    <font>
      <b/>
      <sz val="26"/>
      <color theme="0"/>
      <name val="Calibri"/>
      <family val="2"/>
      <charset val="238"/>
      <scheme val="minor"/>
    </font>
    <font>
      <sz val="11"/>
      <color rgb="FF000000"/>
      <name val="Calibri"/>
      <family val="2"/>
      <charset val="238"/>
    </font>
  </fonts>
  <fills count="39">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6E6E6"/>
        <bgColor indexed="64"/>
      </patternFill>
    </fill>
    <fill>
      <patternFill patternType="solid">
        <fgColor rgb="FFCDDAFF"/>
        <bgColor indexed="64"/>
      </patternFill>
    </fill>
    <fill>
      <patternFill patternType="solid">
        <fgColor theme="1"/>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tint="-0.249977111117893"/>
        <bgColor indexed="64"/>
      </patternFill>
    </fill>
    <fill>
      <patternFill patternType="solid">
        <fgColor rgb="FFE0E0E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2"/>
        <bgColor indexed="64"/>
      </patternFill>
    </fill>
    <fill>
      <patternFill patternType="solid">
        <fgColor rgb="FF002060"/>
        <bgColor indexed="64"/>
      </patternFill>
    </fill>
  </fills>
  <borders count="13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s>
  <cellStyleXfs count="19">
    <xf numFmtId="0" fontId="0" fillId="0" borderId="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10" fillId="0" borderId="0" applyFont="0" applyFill="0" applyBorder="0" applyAlignment="0" applyProtection="0"/>
    <xf numFmtId="44" fontId="10" fillId="0" borderId="0" applyFont="0" applyFill="0" applyBorder="0" applyAlignment="0" applyProtection="0"/>
    <xf numFmtId="0" fontId="15" fillId="0" borderId="0"/>
    <xf numFmtId="0" fontId="15" fillId="0" borderId="0"/>
    <xf numFmtId="0" fontId="15"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cellStyleXfs>
  <cellXfs count="1041">
    <xf numFmtId="0" fontId="0" fillId="0" borderId="0" xfId="0"/>
    <xf numFmtId="0" fontId="0" fillId="0" borderId="0" xfId="0" applyProtection="1">
      <protection hidden="1"/>
    </xf>
    <xf numFmtId="0" fontId="19" fillId="0" borderId="0" xfId="0" applyFont="1"/>
    <xf numFmtId="0" fontId="19" fillId="2" borderId="1" xfId="0" applyFont="1" applyFill="1" applyBorder="1"/>
    <xf numFmtId="0" fontId="19" fillId="2" borderId="2" xfId="0" applyFont="1" applyFill="1" applyBorder="1"/>
    <xf numFmtId="0" fontId="19" fillId="3" borderId="3" xfId="0" applyFont="1" applyFill="1" applyBorder="1"/>
    <xf numFmtId="0" fontId="20" fillId="4" borderId="4" xfId="14" applyFont="1" applyFill="1" applyBorder="1"/>
    <xf numFmtId="0" fontId="20" fillId="0" borderId="5" xfId="14" applyFont="1" applyBorder="1" applyAlignment="1">
      <alignment horizontal="left"/>
    </xf>
    <xf numFmtId="0" fontId="20" fillId="0" borderId="6" xfId="14" applyFont="1" applyBorder="1" applyAlignment="1">
      <alignment horizontal="left"/>
    </xf>
    <xf numFmtId="0" fontId="20" fillId="0" borderId="5" xfId="10" applyFont="1" applyBorder="1" applyAlignment="1">
      <alignment horizontal="left"/>
    </xf>
    <xf numFmtId="0" fontId="20" fillId="0" borderId="6" xfId="10" applyFont="1" applyBorder="1" applyAlignment="1">
      <alignment horizontal="left"/>
    </xf>
    <xf numFmtId="0" fontId="20" fillId="0" borderId="7" xfId="10" applyFont="1" applyBorder="1" applyAlignment="1">
      <alignment horizontal="left"/>
    </xf>
    <xf numFmtId="0" fontId="0" fillId="0" borderId="0" xfId="0" applyAlignment="1">
      <alignment horizontal="left"/>
    </xf>
    <xf numFmtId="0" fontId="20" fillId="0" borderId="0" xfId="10" applyFont="1" applyAlignment="1">
      <alignment horizontal="left"/>
    </xf>
    <xf numFmtId="0" fontId="19" fillId="0" borderId="0" xfId="0" applyFont="1" applyAlignment="1">
      <alignment horizontal="center"/>
    </xf>
    <xf numFmtId="2" fontId="19" fillId="0" borderId="0" xfId="0" applyNumberFormat="1" applyFont="1" applyAlignment="1">
      <alignment horizontal="center"/>
    </xf>
    <xf numFmtId="1" fontId="19" fillId="0" borderId="0" xfId="0" applyNumberFormat="1" applyFont="1" applyAlignment="1">
      <alignment horizontal="center"/>
    </xf>
    <xf numFmtId="0" fontId="21" fillId="0" borderId="3" xfId="0" applyFont="1" applyBorder="1"/>
    <xf numFmtId="0" fontId="19" fillId="0" borderId="3" xfId="0" applyFont="1" applyBorder="1"/>
    <xf numFmtId="49" fontId="19" fillId="0" borderId="3" xfId="0" applyNumberFormat="1" applyFont="1" applyBorder="1"/>
    <xf numFmtId="0" fontId="20" fillId="0" borderId="3" xfId="0" applyFont="1" applyBorder="1" applyAlignment="1">
      <alignment horizontal="center"/>
    </xf>
    <xf numFmtId="0" fontId="22" fillId="0" borderId="3" xfId="0" applyFont="1" applyBorder="1"/>
    <xf numFmtId="167" fontId="22" fillId="0" borderId="3" xfId="0" applyNumberFormat="1" applyFont="1" applyBorder="1"/>
    <xf numFmtId="0" fontId="20" fillId="0" borderId="3" xfId="0" applyFont="1" applyBorder="1"/>
    <xf numFmtId="49" fontId="19" fillId="0" borderId="0" xfId="0" applyNumberFormat="1" applyFont="1"/>
    <xf numFmtId="0" fontId="22" fillId="0" borderId="0" xfId="0" applyFont="1"/>
    <xf numFmtId="0" fontId="15" fillId="0" borderId="0" xfId="5"/>
    <xf numFmtId="0" fontId="15" fillId="0" borderId="0" xfId="6"/>
    <xf numFmtId="49" fontId="15" fillId="0" borderId="0" xfId="6" applyNumberFormat="1"/>
    <xf numFmtId="49" fontId="15" fillId="0" borderId="0" xfId="7" applyNumberFormat="1"/>
    <xf numFmtId="0" fontId="11" fillId="0" borderId="0" xfId="0" applyFont="1" applyProtection="1">
      <protection hidden="1"/>
    </xf>
    <xf numFmtId="0" fontId="21" fillId="0" borderId="3" xfId="0" applyFont="1" applyBorder="1" applyAlignment="1">
      <alignment wrapText="1"/>
    </xf>
    <xf numFmtId="0" fontId="23" fillId="5" borderId="0" xfId="0" applyFont="1" applyFill="1" applyAlignment="1" applyProtection="1">
      <alignment horizontal="left"/>
      <protection hidden="1"/>
    </xf>
    <xf numFmtId="0" fontId="24" fillId="5" borderId="8" xfId="0" applyFont="1" applyFill="1" applyBorder="1" applyAlignment="1" applyProtection="1">
      <alignment horizontal="left"/>
      <protection hidden="1"/>
    </xf>
    <xf numFmtId="0" fontId="23" fillId="5" borderId="0" xfId="0" applyFont="1" applyFill="1" applyAlignment="1" applyProtection="1">
      <alignment horizontal="left" vertical="center"/>
      <protection hidden="1"/>
    </xf>
    <xf numFmtId="0" fontId="24" fillId="5" borderId="9" xfId="0" applyFont="1" applyFill="1" applyBorder="1" applyAlignment="1" applyProtection="1">
      <alignment horizontal="left"/>
      <protection hidden="1"/>
    </xf>
    <xf numFmtId="0" fontId="24" fillId="5" borderId="0" xfId="0" applyFont="1" applyFill="1" applyAlignment="1" applyProtection="1">
      <alignment horizontal="left"/>
      <protection hidden="1"/>
    </xf>
    <xf numFmtId="0" fontId="25" fillId="6" borderId="10" xfId="0" applyFont="1" applyFill="1" applyBorder="1" applyProtection="1">
      <protection hidden="1"/>
    </xf>
    <xf numFmtId="0" fontId="25" fillId="6" borderId="11" xfId="0" applyFont="1" applyFill="1" applyBorder="1" applyProtection="1">
      <protection hidden="1"/>
    </xf>
    <xf numFmtId="0" fontId="25" fillId="6" borderId="12" xfId="0" applyFont="1" applyFill="1" applyBorder="1" applyProtection="1">
      <protection hidden="1"/>
    </xf>
    <xf numFmtId="0" fontId="0" fillId="0" borderId="0" xfId="0" applyAlignment="1" applyProtection="1">
      <alignment wrapText="1"/>
      <protection hidden="1"/>
    </xf>
    <xf numFmtId="0" fontId="0" fillId="5" borderId="13" xfId="0" applyFill="1" applyBorder="1" applyProtection="1">
      <protection hidden="1"/>
    </xf>
    <xf numFmtId="0" fontId="0" fillId="5" borderId="11" xfId="0" applyFill="1" applyBorder="1" applyProtection="1">
      <protection hidden="1"/>
    </xf>
    <xf numFmtId="0" fontId="0" fillId="5" borderId="14" xfId="0" applyFill="1" applyBorder="1" applyProtection="1">
      <protection hidden="1"/>
    </xf>
    <xf numFmtId="0" fontId="0" fillId="5" borderId="15" xfId="0" applyFill="1" applyBorder="1" applyProtection="1">
      <protection hidden="1"/>
    </xf>
    <xf numFmtId="0" fontId="0" fillId="5" borderId="0" xfId="0" applyFill="1" applyProtection="1">
      <protection hidden="1"/>
    </xf>
    <xf numFmtId="0" fontId="0" fillId="5" borderId="8" xfId="0" applyFill="1" applyBorder="1" applyProtection="1">
      <protection hidden="1"/>
    </xf>
    <xf numFmtId="0" fontId="0" fillId="0" borderId="16" xfId="0" applyBorder="1" applyProtection="1">
      <protection hidden="1"/>
    </xf>
    <xf numFmtId="0" fontId="0" fillId="0" borderId="10" xfId="0" applyBorder="1" applyProtection="1">
      <protection hidden="1"/>
    </xf>
    <xf numFmtId="0" fontId="0" fillId="5" borderId="0" xfId="0" applyFill="1" applyAlignment="1" applyProtection="1">
      <alignment horizontal="center"/>
      <protection hidden="1"/>
    </xf>
    <xf numFmtId="165" fontId="19" fillId="5" borderId="17" xfId="0" applyNumberFormat="1" applyFont="1" applyFill="1" applyBorder="1" applyAlignment="1" applyProtection="1">
      <alignment vertical="center" textRotation="90"/>
      <protection hidden="1"/>
    </xf>
    <xf numFmtId="165" fontId="19" fillId="5" borderId="0" xfId="0" applyNumberFormat="1" applyFont="1" applyFill="1" applyAlignment="1" applyProtection="1">
      <alignment horizontal="center" vertical="center" textRotation="90"/>
      <protection hidden="1"/>
    </xf>
    <xf numFmtId="0" fontId="0" fillId="0" borderId="18" xfId="0" applyBorder="1" applyProtection="1">
      <protection hidden="1"/>
    </xf>
    <xf numFmtId="0" fontId="26" fillId="0" borderId="19" xfId="0" applyFont="1" applyBorder="1" applyAlignment="1" applyProtection="1">
      <alignment vertical="center" textRotation="90"/>
      <protection hidden="1"/>
    </xf>
    <xf numFmtId="165" fontId="19" fillId="5" borderId="0" xfId="0" applyNumberFormat="1" applyFont="1" applyFill="1" applyAlignment="1" applyProtection="1">
      <alignment horizontal="center" textRotation="90"/>
      <protection hidden="1"/>
    </xf>
    <xf numFmtId="0" fontId="26" fillId="0" borderId="0" xfId="0" applyFont="1" applyAlignment="1" applyProtection="1">
      <alignment vertical="center" textRotation="90"/>
      <protection hidden="1"/>
    </xf>
    <xf numFmtId="0" fontId="27" fillId="5" borderId="0" xfId="0" applyFont="1" applyFill="1" applyAlignment="1" applyProtection="1">
      <alignment horizontal="center" vertical="center"/>
      <protection hidden="1"/>
    </xf>
    <xf numFmtId="0" fontId="27" fillId="5" borderId="0" xfId="0" applyFont="1" applyFill="1" applyAlignment="1" applyProtection="1">
      <alignment vertical="center" textRotation="90"/>
      <protection hidden="1"/>
    </xf>
    <xf numFmtId="0" fontId="27" fillId="5" borderId="0" xfId="0" applyFont="1" applyFill="1" applyAlignment="1" applyProtection="1">
      <alignment horizontal="center" vertical="center" textRotation="90"/>
      <protection hidden="1"/>
    </xf>
    <xf numFmtId="0" fontId="0" fillId="5" borderId="20" xfId="0" applyFill="1" applyBorder="1" applyProtection="1">
      <protection hidden="1"/>
    </xf>
    <xf numFmtId="0" fontId="0" fillId="5" borderId="9" xfId="0" applyFill="1" applyBorder="1" applyProtection="1">
      <protection hidden="1"/>
    </xf>
    <xf numFmtId="0" fontId="0" fillId="5" borderId="21" xfId="0" applyFill="1" applyBorder="1" applyProtection="1">
      <protection hidden="1"/>
    </xf>
    <xf numFmtId="0" fontId="26" fillId="0" borderId="0" xfId="0" applyFont="1" applyAlignment="1" applyProtection="1">
      <alignment horizontal="left" vertical="center" wrapText="1"/>
      <protection hidden="1"/>
    </xf>
    <xf numFmtId="0" fontId="28" fillId="0" borderId="0" xfId="0" applyFont="1" applyAlignment="1" applyProtection="1">
      <alignment vertical="center"/>
      <protection hidden="1"/>
    </xf>
    <xf numFmtId="165" fontId="26" fillId="0" borderId="0" xfId="0" applyNumberFormat="1" applyFont="1" applyAlignment="1" applyProtection="1">
      <alignment horizontal="center" vertical="center"/>
      <protection hidden="1"/>
    </xf>
    <xf numFmtId="0" fontId="0" fillId="7" borderId="0" xfId="0" applyFill="1" applyProtection="1">
      <protection hidden="1"/>
    </xf>
    <xf numFmtId="0" fontId="29" fillId="0" borderId="3" xfId="0" applyFont="1" applyBorder="1" applyAlignment="1">
      <alignment horizontal="right"/>
    </xf>
    <xf numFmtId="0" fontId="27" fillId="0" borderId="3" xfId="0" applyFont="1" applyBorder="1"/>
    <xf numFmtId="0" fontId="0" fillId="0" borderId="0" xfId="0" applyAlignment="1" applyProtection="1">
      <alignment horizontal="right"/>
      <protection hidden="1"/>
    </xf>
    <xf numFmtId="0" fontId="30" fillId="0" borderId="22" xfId="0" applyFont="1" applyBorder="1"/>
    <xf numFmtId="0" fontId="30" fillId="0" borderId="23" xfId="0" applyFont="1" applyBorder="1"/>
    <xf numFmtId="0" fontId="30" fillId="0" borderId="24" xfId="0" applyFont="1" applyBorder="1"/>
    <xf numFmtId="0" fontId="0" fillId="0" borderId="3" xfId="0" applyBorder="1"/>
    <xf numFmtId="0" fontId="29" fillId="0" borderId="22" xfId="0" applyFont="1" applyBorder="1"/>
    <xf numFmtId="0" fontId="29" fillId="0" borderId="23" xfId="0" applyFont="1" applyBorder="1"/>
    <xf numFmtId="0" fontId="29" fillId="0" borderId="24" xfId="0" applyFont="1" applyBorder="1"/>
    <xf numFmtId="0" fontId="0" fillId="0" borderId="25" xfId="0" applyBorder="1" applyProtection="1">
      <protection hidden="1"/>
    </xf>
    <xf numFmtId="0" fontId="30" fillId="0" borderId="25" xfId="0" applyFont="1" applyBorder="1" applyAlignment="1" applyProtection="1">
      <alignment vertical="top" wrapText="1"/>
      <protection hidden="1"/>
    </xf>
    <xf numFmtId="0" fontId="24" fillId="0" borderId="19" xfId="0" applyFont="1" applyBorder="1" applyAlignment="1" applyProtection="1">
      <alignment horizontal="center" vertical="center"/>
      <protection hidden="1"/>
    </xf>
    <xf numFmtId="0" fontId="0" fillId="0" borderId="26" xfId="0" applyBorder="1" applyAlignment="1" applyProtection="1">
      <alignment horizontal="left"/>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11" fillId="0" borderId="17" xfId="0" applyFont="1" applyBorder="1" applyProtection="1">
      <protection hidden="1"/>
    </xf>
    <xf numFmtId="0" fontId="0" fillId="0" borderId="28" xfId="0" applyBorder="1" applyProtection="1">
      <protection hidden="1"/>
    </xf>
    <xf numFmtId="0" fontId="31" fillId="0" borderId="0" xfId="1" applyFont="1" applyFill="1" applyBorder="1" applyAlignment="1" applyProtection="1">
      <protection hidden="1"/>
    </xf>
    <xf numFmtId="0" fontId="24" fillId="0" borderId="2" xfId="0" applyFont="1" applyBorder="1" applyAlignment="1" applyProtection="1">
      <alignment horizontal="center" vertical="center"/>
      <protection hidden="1"/>
    </xf>
    <xf numFmtId="0" fontId="0" fillId="0" borderId="0" xfId="0" applyProtection="1">
      <protection locked="0" hidden="1"/>
    </xf>
    <xf numFmtId="0" fontId="0" fillId="0" borderId="0" xfId="0" applyAlignment="1" applyProtection="1">
      <alignment horizontal="center" vertical="top"/>
      <protection locked="0" hidden="1"/>
    </xf>
    <xf numFmtId="0" fontId="30" fillId="0" borderId="27" xfId="0" applyFont="1" applyBorder="1" applyAlignment="1" applyProtection="1">
      <alignment vertical="top" wrapText="1"/>
      <protection hidden="1"/>
    </xf>
    <xf numFmtId="0" fontId="30" fillId="0" borderId="17" xfId="0" applyFont="1" applyBorder="1" applyAlignment="1" applyProtection="1">
      <alignment vertical="top" wrapText="1"/>
      <protection hidden="1"/>
    </xf>
    <xf numFmtId="0" fontId="30" fillId="0" borderId="28" xfId="0" applyFont="1" applyBorder="1" applyAlignment="1" applyProtection="1">
      <alignment vertical="top" wrapText="1"/>
      <protection hidden="1"/>
    </xf>
    <xf numFmtId="0" fontId="32" fillId="0" borderId="22" xfId="0" applyFont="1" applyBorder="1" applyAlignment="1" applyProtection="1">
      <alignment horizontal="center" vertical="top"/>
      <protection hidden="1"/>
    </xf>
    <xf numFmtId="0" fontId="32" fillId="0" borderId="23" xfId="0" applyFont="1" applyBorder="1" applyAlignment="1" applyProtection="1">
      <alignment horizontal="center" vertical="top"/>
      <protection hidden="1"/>
    </xf>
    <xf numFmtId="0" fontId="32" fillId="0" borderId="24" xfId="0" applyFont="1" applyBorder="1" applyAlignment="1" applyProtection="1">
      <alignment horizontal="center" vertical="top"/>
      <protection hidden="1"/>
    </xf>
    <xf numFmtId="0" fontId="30" fillId="0" borderId="3" xfId="0" applyFont="1" applyBorder="1"/>
    <xf numFmtId="0" fontId="30" fillId="0" borderId="26"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0" fillId="0" borderId="25" xfId="0" applyFont="1" applyBorder="1" applyAlignment="1" applyProtection="1">
      <alignment horizontal="left" vertical="top" wrapText="1"/>
      <protection hidden="1"/>
    </xf>
    <xf numFmtId="0" fontId="20" fillId="0" borderId="29" xfId="14" applyFont="1" applyBorder="1" applyAlignment="1">
      <alignment horizontal="left"/>
    </xf>
    <xf numFmtId="0" fontId="20" fillId="0" borderId="30" xfId="14" applyFont="1" applyBorder="1" applyAlignment="1">
      <alignment horizontal="left"/>
    </xf>
    <xf numFmtId="0" fontId="20" fillId="0" borderId="31" xfId="14" applyFont="1" applyBorder="1" applyAlignment="1">
      <alignment horizontal="left"/>
    </xf>
    <xf numFmtId="0" fontId="20" fillId="0" borderId="32" xfId="14" applyFont="1" applyBorder="1" applyAlignment="1">
      <alignment horizontal="left"/>
    </xf>
    <xf numFmtId="0" fontId="20" fillId="0" borderId="33" xfId="14" applyFont="1" applyBorder="1" applyAlignment="1">
      <alignment horizontal="left"/>
    </xf>
    <xf numFmtId="0" fontId="20" fillId="0" borderId="29" xfId="10" applyFont="1" applyBorder="1" applyAlignment="1">
      <alignment horizontal="left"/>
    </xf>
    <xf numFmtId="0" fontId="20" fillId="0" borderId="30" xfId="10" applyFont="1" applyBorder="1" applyAlignment="1">
      <alignment horizontal="left"/>
    </xf>
    <xf numFmtId="0" fontId="20" fillId="0" borderId="34" xfId="10" applyFont="1" applyBorder="1" applyAlignment="1">
      <alignment horizontal="left"/>
    </xf>
    <xf numFmtId="0" fontId="20" fillId="0" borderId="35" xfId="10" applyFont="1" applyBorder="1" applyAlignment="1">
      <alignment horizontal="left"/>
    </xf>
    <xf numFmtId="165" fontId="27" fillId="8" borderId="3" xfId="0" applyNumberFormat="1" applyFont="1" applyFill="1" applyBorder="1" applyAlignment="1" applyProtection="1">
      <alignment horizontal="center" vertical="center"/>
      <protection locked="0" hidden="1"/>
    </xf>
    <xf numFmtId="0" fontId="20" fillId="0" borderId="36" xfId="14" applyFont="1" applyBorder="1" applyAlignment="1">
      <alignment horizontal="left"/>
    </xf>
    <xf numFmtId="0" fontId="20" fillId="0" borderId="37" xfId="14" applyFont="1" applyBorder="1" applyAlignment="1">
      <alignment horizontal="left"/>
    </xf>
    <xf numFmtId="0" fontId="20" fillId="0" borderId="3" xfId="14" applyFont="1" applyBorder="1" applyAlignment="1">
      <alignment horizontal="left" vertical="center"/>
    </xf>
    <xf numFmtId="0" fontId="20" fillId="0" borderId="3" xfId="14" applyFont="1" applyBorder="1" applyAlignment="1">
      <alignment horizontal="left"/>
    </xf>
    <xf numFmtId="0" fontId="20" fillId="0" borderId="38" xfId="14" applyFont="1" applyBorder="1" applyAlignment="1">
      <alignment horizontal="left"/>
    </xf>
    <xf numFmtId="0" fontId="20" fillId="0" borderId="31" xfId="10" applyFont="1" applyBorder="1" applyAlignment="1">
      <alignment horizontal="left"/>
    </xf>
    <xf numFmtId="0" fontId="20" fillId="0" borderId="32" xfId="10" applyFont="1" applyBorder="1" applyAlignment="1">
      <alignment horizontal="left"/>
    </xf>
    <xf numFmtId="0" fontId="20" fillId="0" borderId="33" xfId="10" applyFont="1" applyBorder="1" applyAlignment="1">
      <alignment horizontal="left"/>
    </xf>
    <xf numFmtId="9" fontId="0" fillId="0" borderId="0" xfId="0" applyNumberFormat="1" applyProtection="1">
      <protection hidden="1"/>
    </xf>
    <xf numFmtId="49" fontId="0" fillId="0" borderId="0" xfId="0" applyNumberFormat="1"/>
    <xf numFmtId="49" fontId="0" fillId="0" borderId="3" xfId="0" applyNumberFormat="1" applyBorder="1"/>
    <xf numFmtId="0" fontId="24" fillId="9" borderId="1" xfId="0" applyFont="1" applyFill="1" applyBorder="1" applyAlignment="1" applyProtection="1">
      <alignment horizontal="center" vertical="center"/>
      <protection hidden="1"/>
    </xf>
    <xf numFmtId="0" fontId="20" fillId="4" borderId="39" xfId="14" applyFont="1" applyFill="1" applyBorder="1" applyAlignment="1">
      <alignment vertical="center"/>
    </xf>
    <xf numFmtId="0" fontId="19" fillId="4" borderId="40" xfId="0" applyFont="1" applyFill="1" applyBorder="1" applyAlignment="1">
      <alignment horizontal="center"/>
    </xf>
    <xf numFmtId="0" fontId="19" fillId="4" borderId="41" xfId="0" applyFont="1" applyFill="1" applyBorder="1" applyAlignment="1">
      <alignment horizontal="center"/>
    </xf>
    <xf numFmtId="0" fontId="20" fillId="0" borderId="3" xfId="14" applyFont="1" applyBorder="1" applyAlignment="1">
      <alignment vertical="center"/>
    </xf>
    <xf numFmtId="2" fontId="20" fillId="0" borderId="3" xfId="0" applyNumberFormat="1" applyFont="1" applyBorder="1"/>
    <xf numFmtId="1" fontId="20" fillId="0" borderId="3" xfId="0" applyNumberFormat="1" applyFont="1" applyBorder="1"/>
    <xf numFmtId="0" fontId="20" fillId="0" borderId="3" xfId="14" applyFont="1" applyBorder="1"/>
    <xf numFmtId="0" fontId="33" fillId="0" borderId="3" xfId="0" applyFont="1" applyBorder="1"/>
    <xf numFmtId="0" fontId="34" fillId="0" borderId="3" xfId="0" applyFont="1" applyBorder="1" applyAlignment="1">
      <alignment horizontal="right"/>
    </xf>
    <xf numFmtId="0" fontId="35" fillId="0" borderId="1" xfId="0" applyFont="1" applyBorder="1" applyAlignment="1" applyProtection="1">
      <alignment horizontal="center" vertical="center"/>
      <protection hidden="1"/>
    </xf>
    <xf numFmtId="0" fontId="35" fillId="0" borderId="19" xfId="0" applyFont="1" applyBorder="1" applyAlignment="1" applyProtection="1">
      <alignment horizontal="center" vertical="center"/>
      <protection hidden="1"/>
    </xf>
    <xf numFmtId="0" fontId="20" fillId="0" borderId="3" xfId="10" applyFont="1" applyBorder="1" applyAlignment="1">
      <alignment horizontal="left"/>
    </xf>
    <xf numFmtId="0" fontId="20" fillId="3" borderId="3" xfId="10" applyFont="1" applyFill="1" applyBorder="1" applyAlignment="1">
      <alignment horizontal="left"/>
    </xf>
    <xf numFmtId="0" fontId="0" fillId="0" borderId="3" xfId="0" applyBorder="1" applyAlignment="1">
      <alignment horizontal="left"/>
    </xf>
    <xf numFmtId="0" fontId="0" fillId="0" borderId="3" xfId="0" applyBorder="1" applyProtection="1">
      <protection hidden="1"/>
    </xf>
    <xf numFmtId="0" fontId="36" fillId="0" borderId="3" xfId="0" applyFont="1" applyBorder="1"/>
    <xf numFmtId="0" fontId="37" fillId="0" borderId="3" xfId="0" applyFont="1" applyBorder="1"/>
    <xf numFmtId="0" fontId="38" fillId="0" borderId="3" xfId="10" applyFont="1" applyBorder="1" applyAlignment="1">
      <alignment horizontal="left"/>
    </xf>
    <xf numFmtId="0" fontId="17" fillId="0" borderId="0" xfId="0" applyFont="1"/>
    <xf numFmtId="0" fontId="11" fillId="0" borderId="0" xfId="0" applyFont="1" applyAlignment="1" applyProtection="1">
      <alignment horizontal="left" vertical="top" wrapText="1"/>
      <protection hidden="1"/>
    </xf>
    <xf numFmtId="0" fontId="11" fillId="0" borderId="0" xfId="0" applyFont="1" applyAlignment="1" applyProtection="1">
      <alignment vertical="top" wrapText="1"/>
      <protection hidden="1"/>
    </xf>
    <xf numFmtId="0" fontId="12" fillId="0" borderId="0" xfId="1" applyBorder="1" applyAlignment="1" applyProtection="1"/>
    <xf numFmtId="0" fontId="12" fillId="0" borderId="0" xfId="1" applyBorder="1" applyAlignment="1" applyProtection="1">
      <alignment horizontal="left"/>
    </xf>
    <xf numFmtId="165" fontId="0" fillId="0" borderId="0" xfId="0" applyNumberFormat="1" applyProtection="1">
      <protection hidden="1"/>
    </xf>
    <xf numFmtId="0" fontId="39" fillId="0" borderId="0" xfId="10" applyFont="1" applyProtection="1">
      <protection hidden="1"/>
    </xf>
    <xf numFmtId="0" fontId="0" fillId="0" borderId="0" xfId="0" applyAlignment="1" applyProtection="1">
      <alignment vertical="center"/>
      <protection hidden="1"/>
    </xf>
    <xf numFmtId="9" fontId="40" fillId="0" borderId="25" xfId="0" applyNumberFormat="1" applyFont="1" applyBorder="1" applyAlignment="1" applyProtection="1">
      <alignment vertical="center"/>
      <protection hidden="1"/>
    </xf>
    <xf numFmtId="0" fontId="41" fillId="10" borderId="23" xfId="0" applyFont="1" applyFill="1" applyBorder="1" applyAlignment="1" applyProtection="1">
      <alignment horizontal="center" vertical="center" wrapText="1"/>
      <protection hidden="1"/>
    </xf>
    <xf numFmtId="0" fontId="41" fillId="10" borderId="23" xfId="0" applyFont="1" applyFill="1" applyBorder="1" applyAlignment="1" applyProtection="1">
      <alignment vertical="center" wrapText="1"/>
      <protection hidden="1"/>
    </xf>
    <xf numFmtId="0" fontId="0" fillId="10" borderId="23" xfId="0" applyFill="1" applyBorder="1" applyProtection="1">
      <protection hidden="1"/>
    </xf>
    <xf numFmtId="0" fontId="0" fillId="10" borderId="24" xfId="0" applyFill="1" applyBorder="1" applyProtection="1">
      <protection hidden="1"/>
    </xf>
    <xf numFmtId="0" fontId="26" fillId="11" borderId="42" xfId="0" applyFont="1" applyFill="1" applyBorder="1" applyAlignment="1" applyProtection="1">
      <alignment horizontal="center" vertical="center"/>
      <protection locked="0" hidden="1"/>
    </xf>
    <xf numFmtId="0" fontId="26" fillId="11" borderId="43" xfId="0" applyFont="1" applyFill="1" applyBorder="1" applyAlignment="1" applyProtection="1">
      <alignment horizontal="center" vertical="center"/>
      <protection locked="0" hidden="1"/>
    </xf>
    <xf numFmtId="0" fontId="0" fillId="12" borderId="31" xfId="0" applyFill="1" applyBorder="1" applyProtection="1">
      <protection hidden="1"/>
    </xf>
    <xf numFmtId="0" fontId="0" fillId="12" borderId="6" xfId="0" applyFill="1" applyBorder="1" applyProtection="1">
      <protection hidden="1"/>
    </xf>
    <xf numFmtId="0" fontId="0" fillId="12" borderId="7" xfId="0" applyFill="1" applyBorder="1" applyProtection="1">
      <protection hidden="1"/>
    </xf>
    <xf numFmtId="0" fontId="42" fillId="0" borderId="0" xfId="0" applyFont="1" applyProtection="1">
      <protection hidden="1"/>
    </xf>
    <xf numFmtId="0" fontId="43" fillId="0" borderId="0" xfId="0" applyFont="1" applyProtection="1">
      <protection hidden="1"/>
    </xf>
    <xf numFmtId="0" fontId="11" fillId="0" borderId="0" xfId="0" applyFont="1"/>
    <xf numFmtId="0" fontId="17" fillId="0" borderId="0" xfId="0" applyFont="1" applyProtection="1">
      <protection hidden="1"/>
    </xf>
    <xf numFmtId="0" fontId="44" fillId="0" borderId="0" xfId="10" applyFont="1" applyAlignment="1" applyProtection="1">
      <alignment horizontal="right"/>
      <protection hidden="1"/>
    </xf>
    <xf numFmtId="0" fontId="23" fillId="0" borderId="0" xfId="0" applyFont="1" applyAlignment="1" applyProtection="1">
      <alignment horizontal="center" vertical="center"/>
      <protection hidden="1"/>
    </xf>
    <xf numFmtId="0" fontId="45" fillId="0" borderId="0" xfId="0" applyFont="1" applyAlignment="1" applyProtection="1">
      <alignment horizontal="left" vertical="top" wrapText="1"/>
      <protection hidden="1"/>
    </xf>
    <xf numFmtId="9" fontId="46" fillId="0" borderId="0" xfId="18" applyFont="1" applyFill="1" applyBorder="1" applyAlignment="1" applyProtection="1">
      <alignment horizontal="center" vertical="center" wrapText="1"/>
      <protection locked="0" hidden="1"/>
    </xf>
    <xf numFmtId="0" fontId="45" fillId="0" borderId="0" xfId="0" applyFont="1" applyAlignment="1" applyProtection="1">
      <alignment vertical="top" wrapText="1"/>
      <protection hidden="1"/>
    </xf>
    <xf numFmtId="0" fontId="23" fillId="0" borderId="0" xfId="0" applyFont="1" applyAlignment="1" applyProtection="1">
      <alignment horizontal="left" vertical="center"/>
      <protection hidden="1"/>
    </xf>
    <xf numFmtId="49" fontId="47" fillId="0" borderId="0" xfId="0" applyNumberFormat="1" applyFont="1" applyAlignment="1" applyProtection="1">
      <alignment horizontal="center" vertical="center"/>
      <protection locked="0" hidden="1"/>
    </xf>
    <xf numFmtId="0" fontId="47" fillId="0" borderId="0" xfId="0" applyFont="1" applyAlignment="1" applyProtection="1">
      <alignment horizontal="center" vertical="center"/>
      <protection locked="0" hidden="1"/>
    </xf>
    <xf numFmtId="0" fontId="47" fillId="0" borderId="0" xfId="0" applyFont="1" applyAlignment="1" applyProtection="1">
      <alignment horizontal="center"/>
      <protection locked="0" hidden="1"/>
    </xf>
    <xf numFmtId="0" fontId="47" fillId="0" borderId="42" xfId="0" applyFont="1" applyBorder="1" applyAlignment="1" applyProtection="1">
      <alignment horizontal="center" vertical="center"/>
      <protection locked="0" hidden="1"/>
    </xf>
    <xf numFmtId="165" fontId="47" fillId="0" borderId="0" xfId="0" applyNumberFormat="1" applyFont="1" applyAlignment="1" applyProtection="1">
      <alignment horizontal="center" vertical="center"/>
      <protection locked="0" hidden="1"/>
    </xf>
    <xf numFmtId="0" fontId="47" fillId="0" borderId="0" xfId="0" applyFont="1" applyProtection="1">
      <protection locked="0" hidden="1"/>
    </xf>
    <xf numFmtId="166" fontId="46" fillId="0" borderId="0" xfId="0" applyNumberFormat="1" applyFont="1" applyAlignment="1" applyProtection="1">
      <alignment horizontal="left" vertical="center"/>
      <protection hidden="1"/>
    </xf>
    <xf numFmtId="168" fontId="42" fillId="0" borderId="0" xfId="0" applyNumberFormat="1" applyFont="1" applyProtection="1">
      <protection hidden="1"/>
    </xf>
    <xf numFmtId="168" fontId="45" fillId="0" borderId="0" xfId="0" applyNumberFormat="1" applyFont="1" applyProtection="1">
      <protection hidden="1"/>
    </xf>
    <xf numFmtId="0" fontId="42" fillId="0" borderId="0" xfId="0" applyFont="1" applyAlignment="1" applyProtection="1">
      <alignment horizontal="left" vertical="top" wrapText="1"/>
      <protection locked="0" hidden="1"/>
    </xf>
    <xf numFmtId="0" fontId="43" fillId="0" borderId="0" xfId="0" applyFont="1" applyAlignment="1" applyProtection="1">
      <alignment horizontal="center" vertical="top"/>
      <protection hidden="1"/>
    </xf>
    <xf numFmtId="0" fontId="14" fillId="13" borderId="0" xfId="0" applyFont="1" applyFill="1" applyProtection="1">
      <protection hidden="1"/>
    </xf>
    <xf numFmtId="0" fontId="48" fillId="2" borderId="0" xfId="0" applyFont="1" applyFill="1" applyProtection="1">
      <protection hidden="1"/>
    </xf>
    <xf numFmtId="0" fontId="0" fillId="2" borderId="0" xfId="0" applyFill="1" applyProtection="1">
      <protection hidden="1"/>
    </xf>
    <xf numFmtId="0" fontId="0" fillId="0" borderId="0" xfId="0" applyAlignment="1" applyProtection="1">
      <alignment horizontal="center"/>
      <protection hidden="1"/>
    </xf>
    <xf numFmtId="0" fontId="0" fillId="14" borderId="0" xfId="0" applyFill="1" applyProtection="1">
      <protection hidden="1"/>
    </xf>
    <xf numFmtId="0" fontId="33" fillId="0" borderId="10" xfId="0" applyFont="1" applyBorder="1" applyProtection="1">
      <protection hidden="1"/>
    </xf>
    <xf numFmtId="0" fontId="27" fillId="0" borderId="22" xfId="0" applyFont="1" applyBorder="1"/>
    <xf numFmtId="0" fontId="0" fillId="0" borderId="13" xfId="0" applyBorder="1"/>
    <xf numFmtId="0" fontId="0" fillId="0" borderId="15" xfId="0" applyBorder="1"/>
    <xf numFmtId="0" fontId="0" fillId="0" borderId="20" xfId="0" applyBorder="1"/>
    <xf numFmtId="0" fontId="26" fillId="9" borderId="44" xfId="0" applyFont="1" applyFill="1" applyBorder="1" applyAlignment="1" applyProtection="1">
      <alignment vertical="center"/>
      <protection hidden="1"/>
    </xf>
    <xf numFmtId="0" fontId="26" fillId="9" borderId="45" xfId="0" applyFont="1" applyFill="1" applyBorder="1" applyAlignment="1" applyProtection="1">
      <alignment vertical="center"/>
      <protection hidden="1"/>
    </xf>
    <xf numFmtId="0" fontId="0" fillId="0" borderId="13" xfId="0" applyBorder="1" applyProtection="1">
      <protection hidden="1"/>
    </xf>
    <xf numFmtId="0" fontId="0" fillId="0" borderId="15" xfId="0" applyBorder="1" applyProtection="1">
      <protection hidden="1"/>
    </xf>
    <xf numFmtId="0" fontId="0" fillId="0" borderId="20" xfId="0" applyBorder="1" applyProtection="1">
      <protection hidden="1"/>
    </xf>
    <xf numFmtId="0" fontId="0" fillId="15" borderId="13" xfId="0" applyFill="1" applyBorder="1" applyProtection="1">
      <protection hidden="1"/>
    </xf>
    <xf numFmtId="0" fontId="0" fillId="0" borderId="14" xfId="0" applyBorder="1" applyProtection="1">
      <protection hidden="1"/>
    </xf>
    <xf numFmtId="0" fontId="0" fillId="15" borderId="15" xfId="0" applyFill="1" applyBorder="1" applyProtection="1">
      <protection hidden="1"/>
    </xf>
    <xf numFmtId="0" fontId="0" fillId="0" borderId="8" xfId="0" applyBorder="1" applyProtection="1">
      <protection hidden="1"/>
    </xf>
    <xf numFmtId="0" fontId="0" fillId="15" borderId="20" xfId="0" applyFill="1" applyBorder="1" applyProtection="1">
      <protection hidden="1"/>
    </xf>
    <xf numFmtId="0" fontId="0" fillId="0" borderId="21" xfId="0" applyBorder="1" applyProtection="1">
      <protection hidden="1"/>
    </xf>
    <xf numFmtId="0" fontId="0" fillId="16" borderId="13" xfId="0" applyFill="1" applyBorder="1" applyProtection="1">
      <protection hidden="1"/>
    </xf>
    <xf numFmtId="0" fontId="0" fillId="16" borderId="15" xfId="0" applyFill="1" applyBorder="1" applyProtection="1">
      <protection hidden="1"/>
    </xf>
    <xf numFmtId="0" fontId="0" fillId="16" borderId="20" xfId="0" applyFill="1" applyBorder="1" applyProtection="1">
      <protection hidden="1"/>
    </xf>
    <xf numFmtId="0" fontId="0" fillId="17" borderId="13" xfId="0" applyFill="1" applyBorder="1" applyProtection="1">
      <protection hidden="1"/>
    </xf>
    <xf numFmtId="0" fontId="0" fillId="17" borderId="15" xfId="0" applyFill="1" applyBorder="1" applyProtection="1">
      <protection hidden="1"/>
    </xf>
    <xf numFmtId="0" fontId="0" fillId="17" borderId="20" xfId="0" applyFill="1" applyBorder="1" applyProtection="1">
      <protection hidden="1"/>
    </xf>
    <xf numFmtId="0" fontId="29" fillId="0" borderId="0" xfId="0" applyFont="1" applyAlignment="1">
      <alignment horizontal="right"/>
    </xf>
    <xf numFmtId="49" fontId="49" fillId="18" borderId="46" xfId="0" applyNumberFormat="1" applyFont="1" applyFill="1" applyBorder="1" applyAlignment="1" applyProtection="1">
      <alignment horizontal="center" vertical="center"/>
      <protection locked="0" hidden="1"/>
    </xf>
    <xf numFmtId="0" fontId="49" fillId="11" borderId="42" xfId="0" applyFont="1" applyFill="1" applyBorder="1" applyAlignment="1" applyProtection="1">
      <alignment horizontal="center" vertical="center"/>
      <protection locked="0" hidden="1"/>
    </xf>
    <xf numFmtId="0" fontId="49" fillId="11" borderId="42" xfId="0" applyFont="1" applyFill="1" applyBorder="1" applyAlignment="1" applyProtection="1">
      <alignment horizontal="center"/>
      <protection locked="0" hidden="1"/>
    </xf>
    <xf numFmtId="165" fontId="49" fillId="11" borderId="42" xfId="0" applyNumberFormat="1" applyFont="1" applyFill="1" applyBorder="1" applyAlignment="1" applyProtection="1">
      <alignment horizontal="center" vertical="center"/>
      <protection locked="0" hidden="1"/>
    </xf>
    <xf numFmtId="0" fontId="49" fillId="9" borderId="42" xfId="0" applyFont="1" applyFill="1" applyBorder="1" applyProtection="1">
      <protection locked="0" hidden="1"/>
    </xf>
    <xf numFmtId="0" fontId="33" fillId="0" borderId="0" xfId="0" applyFont="1" applyProtection="1">
      <protection hidden="1"/>
    </xf>
    <xf numFmtId="49" fontId="17" fillId="0" borderId="0" xfId="0" applyNumberFormat="1" applyFont="1" applyProtection="1">
      <protection hidden="1"/>
    </xf>
    <xf numFmtId="49" fontId="44" fillId="0" borderId="0" xfId="10" applyNumberFormat="1" applyFont="1" applyAlignment="1" applyProtection="1">
      <alignment horizontal="right"/>
      <protection hidden="1"/>
    </xf>
    <xf numFmtId="49" fontId="23" fillId="0" borderId="0" xfId="0" applyNumberFormat="1" applyFont="1" applyAlignment="1" applyProtection="1">
      <alignment horizontal="center" vertical="center"/>
      <protection hidden="1"/>
    </xf>
    <xf numFmtId="49" fontId="45" fillId="0" borderId="0" xfId="0" applyNumberFormat="1" applyFont="1" applyAlignment="1" applyProtection="1">
      <alignment horizontal="left" vertical="top" wrapText="1"/>
      <protection hidden="1"/>
    </xf>
    <xf numFmtId="49" fontId="46" fillId="0" borderId="0" xfId="18" applyNumberFormat="1" applyFont="1" applyFill="1" applyBorder="1" applyAlignment="1" applyProtection="1">
      <alignment horizontal="center" vertical="center" wrapText="1"/>
      <protection locked="0" hidden="1"/>
    </xf>
    <xf numFmtId="49" fontId="45" fillId="0" borderId="0" xfId="0" applyNumberFormat="1" applyFont="1" applyAlignment="1" applyProtection="1">
      <alignment vertical="top" wrapText="1"/>
      <protection hidden="1"/>
    </xf>
    <xf numFmtId="49" fontId="23" fillId="0" borderId="0" xfId="0" applyNumberFormat="1" applyFont="1" applyAlignment="1" applyProtection="1">
      <alignment horizontal="left" vertical="center"/>
      <protection hidden="1"/>
    </xf>
    <xf numFmtId="49" fontId="47" fillId="0" borderId="0" xfId="0" applyNumberFormat="1" applyFont="1" applyAlignment="1" applyProtection="1">
      <alignment horizontal="center"/>
      <protection locked="0" hidden="1"/>
    </xf>
    <xf numFmtId="49" fontId="47" fillId="0" borderId="42" xfId="0" applyNumberFormat="1" applyFont="1" applyBorder="1" applyAlignment="1" applyProtection="1">
      <alignment horizontal="center" vertical="center"/>
      <protection locked="0" hidden="1"/>
    </xf>
    <xf numFmtId="49" fontId="47" fillId="0" borderId="0" xfId="0" applyNumberFormat="1" applyFont="1" applyProtection="1">
      <protection locked="0" hidden="1"/>
    </xf>
    <xf numFmtId="49" fontId="46" fillId="0" borderId="0" xfId="0" applyNumberFormat="1" applyFont="1" applyAlignment="1" applyProtection="1">
      <alignment horizontal="left" vertical="center"/>
      <protection hidden="1"/>
    </xf>
    <xf numFmtId="49" fontId="42" fillId="0" borderId="0" xfId="0" applyNumberFormat="1" applyFont="1" applyProtection="1">
      <protection hidden="1"/>
    </xf>
    <xf numFmtId="49" fontId="45" fillId="0" borderId="0" xfId="0" applyNumberFormat="1" applyFont="1" applyProtection="1">
      <protection hidden="1"/>
    </xf>
    <xf numFmtId="49" fontId="42" fillId="0" borderId="0" xfId="0" applyNumberFormat="1" applyFont="1" applyAlignment="1" applyProtection="1">
      <alignment horizontal="left" vertical="top" wrapText="1"/>
      <protection locked="0" hidden="1"/>
    </xf>
    <xf numFmtId="49" fontId="43" fillId="0" borderId="0" xfId="0" applyNumberFormat="1" applyFont="1" applyAlignment="1" applyProtection="1">
      <alignment horizontal="center" vertical="top"/>
      <protection hidden="1"/>
    </xf>
    <xf numFmtId="49" fontId="17" fillId="16" borderId="0" xfId="0" applyNumberFormat="1" applyFont="1" applyFill="1" applyAlignment="1" applyProtection="1">
      <alignment horizontal="center" vertical="center"/>
      <protection hidden="1"/>
    </xf>
    <xf numFmtId="0" fontId="0" fillId="0" borderId="18" xfId="0" applyBorder="1" applyAlignment="1" applyProtection="1">
      <alignment horizontal="center" vertical="center"/>
      <protection hidden="1"/>
    </xf>
    <xf numFmtId="0" fontId="48" fillId="19" borderId="16" xfId="0" applyFont="1" applyFill="1" applyBorder="1" applyAlignment="1" applyProtection="1">
      <alignment horizontal="center" vertical="center"/>
      <protection hidden="1"/>
    </xf>
    <xf numFmtId="0" fontId="0" fillId="0" borderId="18" xfId="0" applyBorder="1" applyAlignment="1" applyProtection="1">
      <alignment horizontal="center"/>
      <protection hidden="1"/>
    </xf>
    <xf numFmtId="0" fontId="0" fillId="2" borderId="16" xfId="0" applyFill="1" applyBorder="1" applyAlignment="1" applyProtection="1">
      <alignment horizontal="center"/>
      <protection hidden="1"/>
    </xf>
    <xf numFmtId="0" fontId="17" fillId="2" borderId="3" xfId="0" applyFont="1" applyFill="1" applyBorder="1" applyAlignment="1">
      <alignment horizontal="left"/>
    </xf>
    <xf numFmtId="0" fontId="17" fillId="2" borderId="3" xfId="0" applyFont="1" applyFill="1" applyBorder="1"/>
    <xf numFmtId="0" fontId="26" fillId="11" borderId="42" xfId="0" applyFont="1" applyFill="1" applyBorder="1" applyAlignment="1" applyProtection="1">
      <alignment horizontal="center"/>
      <protection locked="0" hidden="1"/>
    </xf>
    <xf numFmtId="0" fontId="20" fillId="0" borderId="37" xfId="10" applyFont="1" applyBorder="1" applyAlignment="1">
      <alignment horizontal="left"/>
    </xf>
    <xf numFmtId="0" fontId="19" fillId="0" borderId="47" xfId="0" applyFont="1" applyBorder="1" applyAlignment="1">
      <alignment horizontal="center"/>
    </xf>
    <xf numFmtId="0" fontId="19" fillId="0" borderId="48" xfId="0" applyFont="1" applyBorder="1" applyAlignment="1">
      <alignment horizontal="center"/>
    </xf>
    <xf numFmtId="0" fontId="19" fillId="0" borderId="36" xfId="0" applyFont="1" applyBorder="1" applyAlignment="1">
      <alignment horizontal="center"/>
    </xf>
    <xf numFmtId="2" fontId="19" fillId="0" borderId="36" xfId="0" applyNumberFormat="1" applyFont="1" applyBorder="1" applyAlignment="1">
      <alignment horizontal="center"/>
    </xf>
    <xf numFmtId="1" fontId="19" fillId="0" borderId="36" xfId="0" applyNumberFormat="1" applyFont="1" applyBorder="1" applyAlignment="1">
      <alignment horizontal="center"/>
    </xf>
    <xf numFmtId="1" fontId="19" fillId="0" borderId="38" xfId="0" applyNumberFormat="1" applyFont="1" applyBorder="1" applyAlignment="1">
      <alignment horizontal="center"/>
    </xf>
    <xf numFmtId="0" fontId="20" fillId="0" borderId="36" xfId="10" applyFont="1" applyBorder="1" applyAlignment="1">
      <alignment horizontal="left"/>
    </xf>
    <xf numFmtId="0" fontId="20" fillId="0" borderId="38" xfId="10" applyFont="1" applyBorder="1" applyAlignment="1">
      <alignment horizontal="left"/>
    </xf>
    <xf numFmtId="0" fontId="20" fillId="0" borderId="49" xfId="10" applyFont="1" applyBorder="1" applyAlignment="1">
      <alignment horizontal="left"/>
    </xf>
    <xf numFmtId="0" fontId="20" fillId="0" borderId="50" xfId="10" applyFont="1" applyBorder="1" applyAlignment="1">
      <alignment horizontal="left"/>
    </xf>
    <xf numFmtId="0" fontId="20" fillId="0" borderId="51" xfId="10" applyFont="1" applyBorder="1" applyAlignment="1">
      <alignment horizontal="left"/>
    </xf>
    <xf numFmtId="0" fontId="20" fillId="0" borderId="52" xfId="10" applyFont="1" applyBorder="1" applyAlignment="1">
      <alignment horizontal="left"/>
    </xf>
    <xf numFmtId="0" fontId="20" fillId="0" borderId="53" xfId="10" applyFont="1" applyBorder="1" applyAlignment="1">
      <alignment horizontal="left"/>
    </xf>
    <xf numFmtId="0" fontId="11" fillId="0" borderId="0" xfId="0" applyFont="1" applyAlignment="1">
      <alignment horizontal="left"/>
    </xf>
    <xf numFmtId="0" fontId="27" fillId="0" borderId="0" xfId="0" applyFont="1" applyAlignment="1">
      <alignment horizontal="left"/>
    </xf>
    <xf numFmtId="0" fontId="0" fillId="0" borderId="0" xfId="0" applyAlignment="1" applyProtection="1">
      <alignment horizontal="left"/>
      <protection hidden="1"/>
    </xf>
    <xf numFmtId="0" fontId="33" fillId="0" borderId="0" xfId="0" applyFont="1" applyAlignment="1" applyProtection="1">
      <alignment horizontal="left"/>
      <protection hidden="1"/>
    </xf>
    <xf numFmtId="0" fontId="20" fillId="16" borderId="3" xfId="14" applyFont="1" applyFill="1" applyBorder="1"/>
    <xf numFmtId="0" fontId="20" fillId="16" borderId="3" xfId="14" applyFont="1" applyFill="1" applyBorder="1" applyAlignment="1">
      <alignment vertical="center"/>
    </xf>
    <xf numFmtId="0" fontId="19" fillId="2" borderId="0" xfId="0" applyFont="1" applyFill="1"/>
    <xf numFmtId="0" fontId="19" fillId="3" borderId="0" xfId="0" applyFont="1" applyFill="1" applyAlignment="1">
      <alignment horizontal="center"/>
    </xf>
    <xf numFmtId="0" fontId="19" fillId="4" borderId="0" xfId="0" applyFont="1" applyFill="1" applyAlignment="1">
      <alignment horizontal="center"/>
    </xf>
    <xf numFmtId="0" fontId="20" fillId="20" borderId="3" xfId="14" applyFont="1" applyFill="1" applyBorder="1" applyAlignment="1">
      <alignment vertical="center"/>
    </xf>
    <xf numFmtId="1" fontId="20" fillId="0" borderId="54" xfId="0" applyNumberFormat="1" applyFont="1" applyBorder="1" applyAlignment="1">
      <alignment horizontal="center"/>
    </xf>
    <xf numFmtId="1" fontId="20" fillId="0" borderId="45" xfId="0" applyNumberFormat="1" applyFont="1" applyBorder="1" applyAlignment="1">
      <alignment horizontal="center"/>
    </xf>
    <xf numFmtId="1" fontId="20" fillId="0" borderId="55" xfId="0" applyNumberFormat="1" applyFont="1" applyBorder="1" applyAlignment="1">
      <alignment horizontal="center"/>
    </xf>
    <xf numFmtId="1" fontId="19" fillId="0" borderId="54" xfId="0" applyNumberFormat="1" applyFont="1" applyBorder="1" applyAlignment="1">
      <alignment horizontal="center"/>
    </xf>
    <xf numFmtId="1" fontId="19" fillId="0" borderId="45" xfId="0" applyNumberFormat="1" applyFont="1" applyBorder="1" applyAlignment="1">
      <alignment horizontal="center"/>
    </xf>
    <xf numFmtId="1" fontId="19" fillId="0" borderId="56" xfId="0" applyNumberFormat="1" applyFont="1" applyBorder="1" applyAlignment="1">
      <alignment horizontal="center"/>
    </xf>
    <xf numFmtId="1" fontId="19" fillId="0" borderId="57" xfId="0" applyNumberFormat="1" applyFont="1" applyBorder="1" applyAlignment="1">
      <alignment horizontal="center"/>
    </xf>
    <xf numFmtId="1" fontId="19" fillId="0" borderId="55" xfId="0" applyNumberFormat="1" applyFont="1" applyBorder="1" applyAlignment="1">
      <alignment horizontal="center"/>
    </xf>
    <xf numFmtId="0" fontId="20" fillId="0" borderId="58" xfId="14" applyFont="1" applyBorder="1" applyAlignment="1">
      <alignment horizontal="left" vertical="center"/>
    </xf>
    <xf numFmtId="0" fontId="20" fillId="0" borderId="58" xfId="0" applyFont="1" applyBorder="1" applyAlignment="1">
      <alignment horizontal="center"/>
    </xf>
    <xf numFmtId="0" fontId="0" fillId="19" borderId="0" xfId="0" applyFill="1"/>
    <xf numFmtId="0" fontId="0" fillId="21" borderId="0" xfId="0" applyFill="1" applyProtection="1">
      <protection hidden="1"/>
    </xf>
    <xf numFmtId="49" fontId="17" fillId="21" borderId="0" xfId="0" applyNumberFormat="1" applyFont="1" applyFill="1" applyProtection="1">
      <protection hidden="1"/>
    </xf>
    <xf numFmtId="0" fontId="17" fillId="21" borderId="0" xfId="0" applyFont="1" applyFill="1" applyProtection="1">
      <protection hidden="1"/>
    </xf>
    <xf numFmtId="0" fontId="0" fillId="2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23" borderId="1" xfId="0" applyFill="1" applyBorder="1" applyProtection="1">
      <protection hidden="1"/>
    </xf>
    <xf numFmtId="0" fontId="0" fillId="23" borderId="19" xfId="0" applyFill="1" applyBorder="1" applyProtection="1">
      <protection hidden="1"/>
    </xf>
    <xf numFmtId="49" fontId="17" fillId="23" borderId="19" xfId="0" applyNumberFormat="1" applyFont="1" applyFill="1" applyBorder="1" applyProtection="1">
      <protection hidden="1"/>
    </xf>
    <xf numFmtId="0" fontId="0" fillId="23" borderId="2" xfId="0" applyFill="1" applyBorder="1" applyProtection="1">
      <protection hidden="1"/>
    </xf>
    <xf numFmtId="0" fontId="0" fillId="23" borderId="25" xfId="0" applyFill="1" applyBorder="1" applyProtection="1">
      <protection hidden="1"/>
    </xf>
    <xf numFmtId="0" fontId="0" fillId="23" borderId="28" xfId="0" applyFill="1" applyBorder="1" applyProtection="1">
      <protection hidden="1"/>
    </xf>
    <xf numFmtId="0" fontId="0" fillId="23" borderId="27" xfId="0" applyFill="1" applyBorder="1" applyProtection="1">
      <protection hidden="1"/>
    </xf>
    <xf numFmtId="0" fontId="0" fillId="23" borderId="17" xfId="0" applyFill="1" applyBorder="1" applyProtection="1">
      <protection hidden="1"/>
    </xf>
    <xf numFmtId="49" fontId="17" fillId="23" borderId="17" xfId="0" applyNumberFormat="1" applyFont="1" applyFill="1" applyBorder="1" applyProtection="1">
      <protection hidden="1"/>
    </xf>
    <xf numFmtId="0" fontId="0" fillId="23" borderId="26" xfId="0" applyFill="1" applyBorder="1" applyProtection="1">
      <protection hidden="1"/>
    </xf>
    <xf numFmtId="0" fontId="49" fillId="0" borderId="0" xfId="0" applyFont="1" applyProtection="1">
      <protection hidden="1"/>
    </xf>
    <xf numFmtId="0" fontId="49" fillId="6" borderId="99" xfId="0" applyFont="1" applyFill="1" applyBorder="1" applyProtection="1">
      <protection hidden="1"/>
    </xf>
    <xf numFmtId="0" fontId="50" fillId="0" borderId="0" xfId="0" applyFont="1" applyProtection="1">
      <protection hidden="1"/>
    </xf>
    <xf numFmtId="0" fontId="51" fillId="0" borderId="0" xfId="10" applyFont="1" applyAlignment="1" applyProtection="1">
      <alignment horizontal="center" vertical="center"/>
      <protection hidden="1"/>
    </xf>
    <xf numFmtId="0" fontId="0" fillId="2" borderId="0" xfId="0" applyFill="1"/>
    <xf numFmtId="0" fontId="0" fillId="24" borderId="0" xfId="0" applyFill="1"/>
    <xf numFmtId="0" fontId="0" fillId="25" borderId="0" xfId="0" applyFill="1"/>
    <xf numFmtId="0" fontId="11" fillId="2" borderId="0" xfId="0" applyFont="1" applyFill="1"/>
    <xf numFmtId="0" fontId="0" fillId="25" borderId="0" xfId="0" applyFill="1" applyAlignment="1">
      <alignment horizontal="center"/>
    </xf>
    <xf numFmtId="0" fontId="0" fillId="26" borderId="0" xfId="0" applyFill="1"/>
    <xf numFmtId="0" fontId="0" fillId="22" borderId="59" xfId="0" applyFill="1" applyBorder="1" applyProtection="1">
      <protection hidden="1"/>
    </xf>
    <xf numFmtId="0" fontId="0" fillId="16" borderId="0" xfId="0" applyFill="1" applyAlignment="1">
      <alignment horizontal="right"/>
    </xf>
    <xf numFmtId="0" fontId="0" fillId="16" borderId="0" xfId="0" applyFill="1" applyAlignment="1">
      <alignment horizontal="left"/>
    </xf>
    <xf numFmtId="0" fontId="0" fillId="27" borderId="0" xfId="0" applyFill="1"/>
    <xf numFmtId="0" fontId="0" fillId="23" borderId="58" xfId="0" applyFill="1" applyBorder="1" applyProtection="1">
      <protection hidden="1"/>
    </xf>
    <xf numFmtId="0" fontId="0" fillId="28" borderId="26" xfId="0" applyFill="1" applyBorder="1" applyProtection="1">
      <protection hidden="1"/>
    </xf>
    <xf numFmtId="0" fontId="0" fillId="28" borderId="19" xfId="0" applyFill="1" applyBorder="1" applyProtection="1">
      <protection hidden="1"/>
    </xf>
    <xf numFmtId="49" fontId="17" fillId="28" borderId="19" xfId="0" applyNumberFormat="1" applyFont="1" applyFill="1" applyBorder="1" applyProtection="1">
      <protection hidden="1"/>
    </xf>
    <xf numFmtId="0" fontId="0" fillId="28" borderId="25" xfId="0" applyFill="1" applyBorder="1" applyProtection="1">
      <protection hidden="1"/>
    </xf>
    <xf numFmtId="0" fontId="0" fillId="28" borderId="17" xfId="0" applyFill="1" applyBorder="1" applyProtection="1">
      <protection hidden="1"/>
    </xf>
    <xf numFmtId="49" fontId="17" fillId="28" borderId="17" xfId="0" applyNumberFormat="1" applyFont="1" applyFill="1" applyBorder="1" applyProtection="1">
      <protection hidden="1"/>
    </xf>
    <xf numFmtId="0" fontId="18" fillId="0" borderId="0" xfId="0" applyFont="1" applyProtection="1">
      <protection hidden="1"/>
    </xf>
    <xf numFmtId="0" fontId="18" fillId="28" borderId="0" xfId="0" applyFont="1" applyFill="1" applyProtection="1">
      <protection hidden="1"/>
    </xf>
    <xf numFmtId="0" fontId="0" fillId="28" borderId="0" xfId="0" applyFill="1" applyProtection="1">
      <protection hidden="1"/>
    </xf>
    <xf numFmtId="0" fontId="0" fillId="29" borderId="58" xfId="0" applyFill="1" applyBorder="1" applyProtection="1">
      <protection hidden="1"/>
    </xf>
    <xf numFmtId="0" fontId="0" fillId="29" borderId="26" xfId="0" applyFill="1" applyBorder="1" applyProtection="1">
      <protection hidden="1"/>
    </xf>
    <xf numFmtId="0" fontId="0" fillId="29" borderId="25" xfId="0" applyFill="1" applyBorder="1" applyProtection="1">
      <protection hidden="1"/>
    </xf>
    <xf numFmtId="0" fontId="0" fillId="29" borderId="19" xfId="0" applyFill="1" applyBorder="1" applyProtection="1">
      <protection hidden="1"/>
    </xf>
    <xf numFmtId="0" fontId="0" fillId="29" borderId="17" xfId="0" applyFill="1" applyBorder="1" applyProtection="1">
      <protection hidden="1"/>
    </xf>
    <xf numFmtId="0" fontId="11" fillId="0" borderId="0" xfId="0" applyFont="1" applyAlignment="1">
      <alignment vertical="center"/>
    </xf>
    <xf numFmtId="0" fontId="11"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30" borderId="59" xfId="0" applyFill="1" applyBorder="1" applyProtection="1">
      <protection hidden="1"/>
    </xf>
    <xf numFmtId="0" fontId="0" fillId="6" borderId="100" xfId="0" applyFill="1" applyBorder="1" applyProtection="1">
      <protection hidden="1"/>
    </xf>
    <xf numFmtId="0" fontId="0" fillId="6" borderId="59" xfId="0" applyFill="1" applyBorder="1" applyProtection="1">
      <protection hidden="1"/>
    </xf>
    <xf numFmtId="0" fontId="0" fillId="3" borderId="0" xfId="0" applyFill="1" applyAlignment="1">
      <alignment vertical="center"/>
    </xf>
    <xf numFmtId="0" fontId="16" fillId="28" borderId="0" xfId="8" applyFill="1" applyProtection="1">
      <protection hidden="1"/>
    </xf>
    <xf numFmtId="0" fontId="16" fillId="21" borderId="0" xfId="8" applyFill="1" applyProtection="1">
      <protection hidden="1"/>
    </xf>
    <xf numFmtId="0" fontId="52" fillId="0" borderId="0" xfId="9" applyFont="1" applyAlignment="1" applyProtection="1">
      <alignment vertical="top" wrapText="1"/>
      <protection hidden="1"/>
    </xf>
    <xf numFmtId="0" fontId="53" fillId="28" borderId="0" xfId="8" applyFont="1" applyFill="1" applyAlignment="1" applyProtection="1">
      <alignment vertical="center"/>
      <protection hidden="1"/>
    </xf>
    <xf numFmtId="0" fontId="54" fillId="0" borderId="0" xfId="0" applyFont="1" applyProtection="1">
      <protection hidden="1"/>
    </xf>
    <xf numFmtId="0" fontId="0" fillId="20" borderId="0" xfId="0" applyFill="1"/>
    <xf numFmtId="0" fontId="0" fillId="0" borderId="59" xfId="0" applyBorder="1" applyProtection="1">
      <protection hidden="1"/>
    </xf>
    <xf numFmtId="49" fontId="17" fillId="0" borderId="59" xfId="0" applyNumberFormat="1" applyFont="1" applyBorder="1" applyProtection="1">
      <protection hidden="1"/>
    </xf>
    <xf numFmtId="0" fontId="17" fillId="0" borderId="59" xfId="0" applyFont="1" applyBorder="1" applyProtection="1">
      <protection hidden="1"/>
    </xf>
    <xf numFmtId="0" fontId="0" fillId="0" borderId="101" xfId="0" applyBorder="1" applyProtection="1">
      <protection hidden="1"/>
    </xf>
    <xf numFmtId="0" fontId="0" fillId="0" borderId="102" xfId="0" applyBorder="1" applyProtection="1">
      <protection hidden="1"/>
    </xf>
    <xf numFmtId="0" fontId="0" fillId="0" borderId="103" xfId="0" applyBorder="1" applyProtection="1">
      <protection hidden="1"/>
    </xf>
    <xf numFmtId="0" fontId="0" fillId="0" borderId="104" xfId="0" applyBorder="1" applyProtection="1">
      <protection hidden="1"/>
    </xf>
    <xf numFmtId="0" fontId="0" fillId="0" borderId="105" xfId="0" applyBorder="1" applyProtection="1">
      <protection hidden="1"/>
    </xf>
    <xf numFmtId="0" fontId="17" fillId="23" borderId="23" xfId="0" applyFont="1" applyFill="1" applyBorder="1" applyProtection="1">
      <protection hidden="1"/>
    </xf>
    <xf numFmtId="0" fontId="55" fillId="28" borderId="0" xfId="8" applyFont="1" applyFill="1" applyProtection="1">
      <protection hidden="1"/>
    </xf>
    <xf numFmtId="49" fontId="18" fillId="0" borderId="0" xfId="0" applyNumberFormat="1" applyFont="1" applyProtection="1">
      <protection hidden="1"/>
    </xf>
    <xf numFmtId="0" fontId="54" fillId="28" borderId="0" xfId="0" applyFont="1" applyFill="1" applyProtection="1">
      <protection hidden="1"/>
    </xf>
    <xf numFmtId="49" fontId="0" fillId="0" borderId="0" xfId="0" applyNumberFormat="1" applyProtection="1">
      <protection hidden="1"/>
    </xf>
    <xf numFmtId="0" fontId="25" fillId="6" borderId="59" xfId="0" applyFont="1" applyFill="1" applyBorder="1" applyAlignment="1" applyProtection="1">
      <alignment horizontal="center" vertical="center"/>
      <protection hidden="1"/>
    </xf>
    <xf numFmtId="0" fontId="0" fillId="28" borderId="0" xfId="0" applyFill="1" applyAlignment="1" applyProtection="1">
      <alignment wrapText="1"/>
      <protection hidden="1"/>
    </xf>
    <xf numFmtId="0" fontId="0" fillId="28" borderId="60" xfId="0" applyFill="1" applyBorder="1" applyProtection="1">
      <protection hidden="1"/>
    </xf>
    <xf numFmtId="0" fontId="0" fillId="0" borderId="12" xfId="0" applyBorder="1" applyProtection="1">
      <protection hidden="1"/>
    </xf>
    <xf numFmtId="0" fontId="0" fillId="28" borderId="12" xfId="0" applyFill="1" applyBorder="1" applyProtection="1">
      <protection hidden="1"/>
    </xf>
    <xf numFmtId="0" fontId="0" fillId="28" borderId="14" xfId="0" applyFill="1" applyBorder="1" applyProtection="1">
      <protection hidden="1"/>
    </xf>
    <xf numFmtId="0" fontId="14" fillId="0" borderId="0" xfId="0" applyFont="1" applyProtection="1">
      <protection hidden="1"/>
    </xf>
    <xf numFmtId="0" fontId="56" fillId="28" borderId="0" xfId="8" applyFont="1" applyFill="1" applyProtection="1">
      <protection hidden="1"/>
    </xf>
    <xf numFmtId="0" fontId="56" fillId="21" borderId="0" xfId="8" applyFont="1" applyFill="1" applyProtection="1">
      <protection hidden="1"/>
    </xf>
    <xf numFmtId="0" fontId="57" fillId="0" borderId="0" xfId="0" applyFont="1" applyProtection="1">
      <protection hidden="1"/>
    </xf>
    <xf numFmtId="0" fontId="11" fillId="0" borderId="0" xfId="0" applyFont="1" applyAlignment="1" applyProtection="1">
      <alignment horizontal="left"/>
      <protection hidden="1"/>
    </xf>
    <xf numFmtId="0" fontId="11" fillId="28" borderId="0" xfId="0" applyFont="1" applyFill="1" applyAlignment="1" applyProtection="1">
      <alignment horizontal="left"/>
      <protection hidden="1"/>
    </xf>
    <xf numFmtId="0" fontId="14" fillId="28" borderId="0" xfId="0" applyFont="1" applyFill="1" applyAlignment="1" applyProtection="1">
      <alignment horizontal="left" indent="1"/>
      <protection hidden="1"/>
    </xf>
    <xf numFmtId="0" fontId="0" fillId="28" borderId="0" xfId="0" applyFill="1" applyAlignment="1" applyProtection="1">
      <alignment horizontal="center"/>
      <protection hidden="1"/>
    </xf>
    <xf numFmtId="0" fontId="14" fillId="28" borderId="0" xfId="0" applyFont="1" applyFill="1" applyAlignment="1" applyProtection="1">
      <alignment horizontal="center" vertical="center"/>
      <protection hidden="1"/>
    </xf>
    <xf numFmtId="165" fontId="0" fillId="28" borderId="0" xfId="0" applyNumberFormat="1" applyFill="1" applyAlignment="1" applyProtection="1">
      <alignment horizontal="center" vertical="center"/>
      <protection hidden="1"/>
    </xf>
    <xf numFmtId="49" fontId="17" fillId="28" borderId="0" xfId="0" applyNumberFormat="1" applyFont="1" applyFill="1" applyProtection="1">
      <protection hidden="1"/>
    </xf>
    <xf numFmtId="0" fontId="17" fillId="28" borderId="0" xfId="0" applyFont="1" applyFill="1" applyProtection="1">
      <protection hidden="1"/>
    </xf>
    <xf numFmtId="0" fontId="33" fillId="28" borderId="0" xfId="0" applyFont="1" applyFill="1" applyProtection="1">
      <protection hidden="1"/>
    </xf>
    <xf numFmtId="0" fontId="0" fillId="0" borderId="0" xfId="0" applyAlignment="1" applyProtection="1">
      <alignment horizontal="left" vertical="center" indent="1"/>
      <protection hidden="1"/>
    </xf>
    <xf numFmtId="0" fontId="45" fillId="9" borderId="0" xfId="0" applyFont="1" applyFill="1" applyAlignment="1" applyProtection="1">
      <alignment vertical="center" wrapText="1"/>
      <protection hidden="1"/>
    </xf>
    <xf numFmtId="0" fontId="49" fillId="28" borderId="0" xfId="0" applyFont="1" applyFill="1" applyProtection="1">
      <protection hidden="1"/>
    </xf>
    <xf numFmtId="0" fontId="45" fillId="28" borderId="0" xfId="0" applyFont="1" applyFill="1" applyAlignment="1" applyProtection="1">
      <alignment vertical="center" wrapText="1"/>
      <protection hidden="1"/>
    </xf>
    <xf numFmtId="0" fontId="0" fillId="6" borderId="61" xfId="0" applyFill="1" applyBorder="1" applyProtection="1">
      <protection hidden="1"/>
    </xf>
    <xf numFmtId="0" fontId="58" fillId="0" borderId="0" xfId="1" applyFont="1" applyFill="1" applyBorder="1" applyAlignment="1" applyProtection="1">
      <alignment vertical="center"/>
      <protection hidden="1"/>
    </xf>
    <xf numFmtId="0" fontId="19" fillId="0" borderId="0" xfId="0" applyFont="1" applyAlignment="1" applyProtection="1">
      <alignment vertical="top"/>
      <protection hidden="1"/>
    </xf>
    <xf numFmtId="0" fontId="16" fillId="28" borderId="0" xfId="8" applyFill="1" applyAlignment="1" applyProtection="1">
      <alignment vertical="center"/>
      <protection hidden="1"/>
    </xf>
    <xf numFmtId="49" fontId="17" fillId="0" borderId="0" xfId="0" applyNumberFormat="1" applyFont="1" applyAlignment="1" applyProtection="1">
      <alignment vertical="center"/>
      <protection hidden="1"/>
    </xf>
    <xf numFmtId="0" fontId="17" fillId="0" borderId="0" xfId="0" applyFont="1" applyAlignment="1" applyProtection="1">
      <alignment vertical="center"/>
      <protection hidden="1"/>
    </xf>
    <xf numFmtId="0" fontId="0" fillId="23" borderId="1" xfId="0" applyFill="1" applyBorder="1" applyAlignment="1" applyProtection="1">
      <alignment vertical="center"/>
      <protection hidden="1"/>
    </xf>
    <xf numFmtId="0" fontId="0" fillId="23" borderId="19" xfId="0" applyFill="1" applyBorder="1" applyAlignment="1" applyProtection="1">
      <alignment vertical="center"/>
      <protection hidden="1"/>
    </xf>
    <xf numFmtId="0" fontId="0" fillId="29" borderId="19" xfId="0" applyFill="1" applyBorder="1" applyAlignment="1" applyProtection="1">
      <alignment vertical="center"/>
      <protection hidden="1"/>
    </xf>
    <xf numFmtId="49" fontId="17" fillId="23" borderId="19" xfId="0" applyNumberFormat="1" applyFont="1" applyFill="1" applyBorder="1" applyAlignment="1" applyProtection="1">
      <alignment vertical="center"/>
      <protection hidden="1"/>
    </xf>
    <xf numFmtId="0" fontId="17" fillId="23" borderId="23" xfId="0" applyFont="1" applyFill="1" applyBorder="1" applyAlignment="1" applyProtection="1">
      <alignment vertical="center"/>
      <protection hidden="1"/>
    </xf>
    <xf numFmtId="0" fontId="0" fillId="23" borderId="2" xfId="0" applyFill="1" applyBorder="1" applyAlignment="1" applyProtection="1">
      <alignment vertical="center"/>
      <protection hidden="1"/>
    </xf>
    <xf numFmtId="0" fontId="0" fillId="2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28" borderId="19" xfId="0" applyFill="1" applyBorder="1" applyAlignment="1" applyProtection="1">
      <alignment vertical="center"/>
      <protection hidden="1"/>
    </xf>
    <xf numFmtId="49" fontId="17" fillId="2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23" borderId="25" xfId="0" applyFill="1" applyBorder="1" applyAlignment="1" applyProtection="1">
      <alignment vertical="center"/>
      <protection hidden="1"/>
    </xf>
    <xf numFmtId="0" fontId="18" fillId="28" borderId="0" xfId="0" applyFont="1" applyFill="1" applyAlignment="1" applyProtection="1">
      <alignment vertical="center"/>
      <protection hidden="1"/>
    </xf>
    <xf numFmtId="0" fontId="0" fillId="23" borderId="58" xfId="0" applyFill="1" applyBorder="1" applyAlignment="1" applyProtection="1">
      <alignment vertical="center"/>
      <protection hidden="1"/>
    </xf>
    <xf numFmtId="0" fontId="0" fillId="29" borderId="58" xfId="0" applyFill="1" applyBorder="1" applyAlignment="1" applyProtection="1">
      <alignment vertical="center"/>
      <protection hidden="1"/>
    </xf>
    <xf numFmtId="0" fontId="0" fillId="2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28" borderId="25" xfId="0" applyFill="1" applyBorder="1" applyAlignment="1" applyProtection="1">
      <alignment vertical="center"/>
      <protection hidden="1"/>
    </xf>
    <xf numFmtId="0" fontId="0" fillId="28" borderId="26" xfId="0" applyFill="1" applyBorder="1" applyAlignment="1" applyProtection="1">
      <alignment vertical="center"/>
      <protection hidden="1"/>
    </xf>
    <xf numFmtId="0" fontId="0" fillId="2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28" borderId="17" xfId="0" applyFill="1" applyBorder="1" applyAlignment="1" applyProtection="1">
      <alignment vertical="center"/>
      <protection hidden="1"/>
    </xf>
    <xf numFmtId="49" fontId="17" fillId="2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23" borderId="27" xfId="0" applyFill="1" applyBorder="1" applyAlignment="1" applyProtection="1">
      <alignment vertical="center"/>
      <protection hidden="1"/>
    </xf>
    <xf numFmtId="0" fontId="0" fillId="23" borderId="17" xfId="0" applyFill="1" applyBorder="1" applyAlignment="1" applyProtection="1">
      <alignment vertical="center"/>
      <protection hidden="1"/>
    </xf>
    <xf numFmtId="0" fontId="0" fillId="29" borderId="17" xfId="0" applyFill="1" applyBorder="1" applyAlignment="1" applyProtection="1">
      <alignment vertical="center"/>
      <protection hidden="1"/>
    </xf>
    <xf numFmtId="49" fontId="17" fillId="23" borderId="17" xfId="0" applyNumberFormat="1" applyFont="1" applyFill="1" applyBorder="1" applyAlignment="1" applyProtection="1">
      <alignment vertical="center"/>
      <protection hidden="1"/>
    </xf>
    <xf numFmtId="0" fontId="0" fillId="23" borderId="28" xfId="0" applyFill="1" applyBorder="1" applyAlignment="1" applyProtection="1">
      <alignment vertical="center"/>
      <protection hidden="1"/>
    </xf>
    <xf numFmtId="0" fontId="42" fillId="0" borderId="0" xfId="0" applyFont="1" applyAlignment="1" applyProtection="1">
      <alignment vertical="center"/>
      <protection hidden="1"/>
    </xf>
    <xf numFmtId="0" fontId="59" fillId="0" borderId="0" xfId="0" applyFont="1" applyProtection="1">
      <protection hidden="1"/>
    </xf>
    <xf numFmtId="0" fontId="59" fillId="28" borderId="0" xfId="0" applyFont="1" applyFill="1" applyProtection="1">
      <protection hidden="1"/>
    </xf>
    <xf numFmtId="0" fontId="60" fillId="0" borderId="0" xfId="0" applyFont="1" applyAlignment="1" applyProtection="1">
      <alignment vertical="center"/>
      <protection hidden="1"/>
    </xf>
    <xf numFmtId="0" fontId="60" fillId="6" borderId="106" xfId="0" applyFont="1" applyFill="1" applyBorder="1" applyAlignment="1" applyProtection="1">
      <alignment vertical="center"/>
      <protection hidden="1"/>
    </xf>
    <xf numFmtId="0" fontId="60" fillId="0" borderId="106" xfId="0" applyFont="1" applyBorder="1" applyAlignment="1" applyProtection="1">
      <alignment vertical="center"/>
      <protection hidden="1"/>
    </xf>
    <xf numFmtId="0" fontId="0" fillId="28" borderId="0" xfId="0" applyFill="1" applyAlignment="1" applyProtection="1">
      <alignment vertical="center"/>
      <protection hidden="1"/>
    </xf>
    <xf numFmtId="0" fontId="16" fillId="0" borderId="0" xfId="8" applyAlignment="1" applyProtection="1">
      <alignment vertical="center"/>
      <protection hidden="1"/>
    </xf>
    <xf numFmtId="0" fontId="61" fillId="0" borderId="0" xfId="9" applyFont="1" applyAlignment="1" applyProtection="1">
      <alignment vertical="center" wrapText="1"/>
      <protection hidden="1"/>
    </xf>
    <xf numFmtId="0" fontId="54" fillId="0" borderId="0" xfId="0" applyFont="1" applyAlignment="1" applyProtection="1">
      <alignment vertical="center"/>
      <protection hidden="1"/>
    </xf>
    <xf numFmtId="0" fontId="62" fillId="28" borderId="0" xfId="8" applyFont="1" applyFill="1" applyAlignment="1" applyProtection="1">
      <alignment vertical="center"/>
      <protection hidden="1"/>
    </xf>
    <xf numFmtId="0" fontId="62" fillId="0" borderId="0" xfId="8" applyFont="1" applyAlignment="1" applyProtection="1">
      <alignment vertical="center"/>
      <protection hidden="1"/>
    </xf>
    <xf numFmtId="0" fontId="63" fillId="28" borderId="0" xfId="8" applyFont="1" applyFill="1" applyAlignment="1" applyProtection="1">
      <alignment vertical="center"/>
      <protection hidden="1"/>
    </xf>
    <xf numFmtId="0" fontId="60" fillId="0" borderId="107" xfId="0" applyFont="1" applyBorder="1" applyAlignment="1" applyProtection="1">
      <alignment vertical="center"/>
      <protection hidden="1"/>
    </xf>
    <xf numFmtId="0" fontId="60" fillId="0" borderId="15" xfId="0" applyFont="1" applyBorder="1" applyAlignment="1" applyProtection="1">
      <alignment vertical="center"/>
      <protection hidden="1"/>
    </xf>
    <xf numFmtId="0" fontId="0" fillId="6" borderId="59" xfId="0" applyFill="1" applyBorder="1" applyAlignment="1" applyProtection="1">
      <alignment vertical="center"/>
      <protection hidden="1"/>
    </xf>
    <xf numFmtId="0" fontId="0" fillId="0" borderId="108" xfId="0" applyBorder="1" applyProtection="1">
      <protection hidden="1"/>
    </xf>
    <xf numFmtId="49" fontId="17" fillId="0" borderId="108" xfId="0" applyNumberFormat="1" applyFont="1" applyBorder="1" applyProtection="1">
      <protection hidden="1"/>
    </xf>
    <xf numFmtId="0" fontId="17" fillId="0" borderId="108" xfId="0" applyFont="1" applyBorder="1" applyProtection="1">
      <protection hidden="1"/>
    </xf>
    <xf numFmtId="0" fontId="0" fillId="0" borderId="0" xfId="0" applyAlignment="1" applyProtection="1">
      <alignment vertical="center"/>
      <protection locked="0" hidden="1"/>
    </xf>
    <xf numFmtId="0" fontId="18" fillId="0" borderId="19" xfId="0" applyFont="1" applyBorder="1" applyAlignment="1" applyProtection="1">
      <alignment vertical="center"/>
      <protection hidden="1"/>
    </xf>
    <xf numFmtId="0" fontId="40" fillId="0" borderId="0" xfId="0" applyFont="1" applyAlignment="1" applyProtection="1">
      <alignment vertical="center"/>
      <protection hidden="1"/>
    </xf>
    <xf numFmtId="0" fontId="60" fillId="0" borderId="106"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109" xfId="0" applyBorder="1" applyProtection="1">
      <protection hidden="1"/>
    </xf>
    <xf numFmtId="0" fontId="0" fillId="0" borderId="110" xfId="0" applyBorder="1" applyAlignment="1" applyProtection="1">
      <alignment horizontal="left" indent="1"/>
      <protection hidden="1"/>
    </xf>
    <xf numFmtId="0" fontId="60" fillId="0" borderId="111" xfId="0" applyFont="1" applyBorder="1" applyAlignment="1" applyProtection="1">
      <alignment horizontal="left" vertical="center" indent="1"/>
      <protection hidden="1"/>
    </xf>
    <xf numFmtId="0" fontId="0" fillId="0" borderId="110" xfId="0" applyBorder="1" applyProtection="1">
      <protection hidden="1"/>
    </xf>
    <xf numFmtId="0" fontId="64" fillId="0" borderId="0" xfId="0" applyFont="1" applyAlignment="1" applyProtection="1">
      <alignment vertical="center"/>
      <protection hidden="1"/>
    </xf>
    <xf numFmtId="9" fontId="49" fillId="0" borderId="0" xfId="0" applyNumberFormat="1" applyFont="1" applyAlignment="1" applyProtection="1">
      <alignment vertical="center"/>
      <protection hidden="1"/>
    </xf>
    <xf numFmtId="0" fontId="49" fillId="0" borderId="0" xfId="0" applyFont="1" applyAlignment="1" applyProtection="1">
      <alignment vertical="center"/>
      <protection hidden="1"/>
    </xf>
    <xf numFmtId="49" fontId="17" fillId="22" borderId="0" xfId="0" applyNumberFormat="1" applyFont="1" applyFill="1" applyProtection="1">
      <protection hidden="1"/>
    </xf>
    <xf numFmtId="0" fontId="17" fillId="22" borderId="0" xfId="0" applyFont="1" applyFill="1" applyProtection="1">
      <protection hidden="1"/>
    </xf>
    <xf numFmtId="0" fontId="0" fillId="31" borderId="61" xfId="0" applyFill="1" applyBorder="1" applyProtection="1">
      <protection hidden="1"/>
    </xf>
    <xf numFmtId="0" fontId="0" fillId="0" borderId="61" xfId="0" applyBorder="1" applyProtection="1">
      <protection hidden="1"/>
    </xf>
    <xf numFmtId="0" fontId="16" fillId="28" borderId="0" xfId="8" applyFill="1" applyProtection="1">
      <protection locked="0" hidden="1"/>
    </xf>
    <xf numFmtId="0" fontId="16" fillId="0" borderId="0" xfId="8" applyProtection="1">
      <protection locked="0" hidden="1"/>
    </xf>
    <xf numFmtId="0" fontId="16" fillId="21" borderId="0" xfId="8" applyFill="1" applyProtection="1">
      <protection locked="0" hidden="1"/>
    </xf>
    <xf numFmtId="0" fontId="13" fillId="0" borderId="0" xfId="2" applyFill="1" applyAlignment="1" applyProtection="1">
      <protection locked="0" hidden="1"/>
    </xf>
    <xf numFmtId="0" fontId="65" fillId="0" borderId="0" xfId="0" applyFont="1" applyProtection="1">
      <protection locked="0" hidden="1"/>
    </xf>
    <xf numFmtId="0" fontId="66" fillId="0" borderId="0" xfId="8" applyFont="1" applyProtection="1">
      <protection locked="0" hidden="1"/>
    </xf>
    <xf numFmtId="0" fontId="0" fillId="0" borderId="0" xfId="0" applyProtection="1">
      <protection locked="0"/>
    </xf>
    <xf numFmtId="0" fontId="19" fillId="0" borderId="0" xfId="0" applyFont="1" applyProtection="1">
      <protection locked="0"/>
    </xf>
    <xf numFmtId="0" fontId="67" fillId="0" borderId="0" xfId="0" applyFont="1" applyAlignment="1" applyProtection="1">
      <alignment horizontal="center" vertical="center" textRotation="90" wrapText="1"/>
      <protection locked="0"/>
    </xf>
    <xf numFmtId="0" fontId="68" fillId="0" borderId="0" xfId="0" applyFont="1" applyAlignment="1" applyProtection="1">
      <alignment vertical="center"/>
      <protection hidden="1"/>
    </xf>
    <xf numFmtId="0" fontId="69" fillId="0" borderId="0" xfId="0" applyFont="1" applyAlignment="1" applyProtection="1">
      <alignment vertical="center"/>
      <protection hidden="1"/>
    </xf>
    <xf numFmtId="0" fontId="33" fillId="0" borderId="0" xfId="0" applyFont="1" applyAlignment="1" applyProtection="1">
      <alignment vertical="center"/>
      <protection locked="0" hidden="1"/>
    </xf>
    <xf numFmtId="0" fontId="62" fillId="28" borderId="0" xfId="8" applyFont="1" applyFill="1" applyAlignment="1" applyProtection="1">
      <alignment vertical="center"/>
      <protection locked="0" hidden="1"/>
    </xf>
    <xf numFmtId="0" fontId="17" fillId="0" borderId="0" xfId="0" applyFont="1" applyAlignment="1" applyProtection="1">
      <alignment vertical="center"/>
      <protection locked="0" hidden="1"/>
    </xf>
    <xf numFmtId="49" fontId="17" fillId="0" borderId="0" xfId="0" applyNumberFormat="1" applyFont="1" applyAlignment="1" applyProtection="1">
      <alignment vertical="center"/>
      <protection locked="0" hidden="1"/>
    </xf>
    <xf numFmtId="0" fontId="62" fillId="0" borderId="0" xfId="8" applyFont="1" applyAlignment="1" applyProtection="1">
      <alignment vertical="center"/>
      <protection locked="0" hidden="1"/>
    </xf>
    <xf numFmtId="0" fontId="33" fillId="28" borderId="0" xfId="0" applyFont="1" applyFill="1" applyAlignment="1" applyProtection="1">
      <alignment vertical="center"/>
      <protection locked="0" hidden="1"/>
    </xf>
    <xf numFmtId="0" fontId="0" fillId="28" borderId="0" xfId="0" applyFill="1" applyAlignment="1" applyProtection="1">
      <alignment vertical="center"/>
      <protection locked="0" hidden="1"/>
    </xf>
    <xf numFmtId="0" fontId="70" fillId="28" borderId="0" xfId="0" applyFont="1" applyFill="1" applyAlignment="1" applyProtection="1">
      <alignment vertical="center" wrapText="1"/>
      <protection locked="0" hidden="1"/>
    </xf>
    <xf numFmtId="0" fontId="17" fillId="28" borderId="0" xfId="0" applyFont="1" applyFill="1" applyAlignment="1" applyProtection="1">
      <alignment vertical="center"/>
      <protection locked="0" hidden="1"/>
    </xf>
    <xf numFmtId="0" fontId="42" fillId="28" borderId="0" xfId="0" applyFont="1" applyFill="1" applyAlignment="1" applyProtection="1">
      <alignment vertical="center"/>
      <protection locked="0" hidden="1"/>
    </xf>
    <xf numFmtId="0" fontId="49" fillId="0" borderId="0" xfId="0" applyFont="1" applyAlignment="1" applyProtection="1">
      <alignment vertical="center"/>
      <protection locked="0" hidden="1"/>
    </xf>
    <xf numFmtId="0" fontId="42" fillId="0" borderId="0" xfId="0" applyFont="1" applyAlignment="1" applyProtection="1">
      <alignment vertical="center"/>
      <protection locked="0" hidden="1"/>
    </xf>
    <xf numFmtId="0" fontId="54" fillId="0" borderId="0" xfId="0" applyFont="1" applyAlignment="1" applyProtection="1">
      <alignment vertical="center"/>
      <protection locked="0" hidden="1"/>
    </xf>
    <xf numFmtId="0" fontId="61" fillId="0" borderId="0" xfId="9" applyFont="1" applyAlignment="1" applyProtection="1">
      <alignment vertical="center" wrapText="1"/>
      <protection locked="0" hidden="1"/>
    </xf>
    <xf numFmtId="0" fontId="55" fillId="0" borderId="0" xfId="8" applyFont="1" applyProtection="1">
      <protection locked="0" hidden="1"/>
    </xf>
    <xf numFmtId="0" fontId="60" fillId="0" borderId="112" xfId="0" applyFont="1" applyBorder="1" applyAlignment="1" applyProtection="1">
      <alignment vertical="center"/>
      <protection hidden="1"/>
    </xf>
    <xf numFmtId="0" fontId="36" fillId="0" borderId="0" xfId="0" applyFont="1" applyProtection="1">
      <protection locked="0"/>
    </xf>
    <xf numFmtId="0" fontId="37" fillId="0" borderId="0" xfId="0" applyFont="1" applyProtection="1">
      <protection locked="0"/>
    </xf>
    <xf numFmtId="0" fontId="27" fillId="0" borderId="0" xfId="0" applyFont="1" applyProtection="1">
      <protection locked="0"/>
    </xf>
    <xf numFmtId="0" fontId="26" fillId="0" borderId="0" xfId="0" applyFont="1" applyAlignment="1" applyProtection="1">
      <alignment vertical="center"/>
      <protection locked="0" hidden="1"/>
    </xf>
    <xf numFmtId="49" fontId="26" fillId="0" borderId="0" xfId="0" applyNumberFormat="1" applyFont="1" applyAlignment="1" applyProtection="1">
      <alignment vertical="center"/>
      <protection locked="0" hidden="1"/>
    </xf>
    <xf numFmtId="0" fontId="11" fillId="0" borderId="0" xfId="0" applyFont="1" applyAlignment="1">
      <alignment horizontal="right" vertical="center"/>
    </xf>
    <xf numFmtId="0" fontId="0" fillId="0" borderId="0" xfId="0" applyAlignment="1" applyProtection="1">
      <alignment horizontal="center" vertical="center"/>
      <protection hidden="1"/>
    </xf>
    <xf numFmtId="0" fontId="50" fillId="0" borderId="0" xfId="0" applyFont="1" applyAlignment="1" applyProtection="1">
      <alignment horizontal="center" vertical="center"/>
      <protection hidden="1"/>
    </xf>
    <xf numFmtId="49"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3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9" fillId="0" borderId="1" xfId="0" applyFont="1" applyBorder="1" applyProtection="1">
      <protection locked="0"/>
    </xf>
    <xf numFmtId="0" fontId="19" fillId="0" borderId="2" xfId="0" applyFont="1" applyBorder="1" applyProtection="1">
      <protection locked="0"/>
    </xf>
    <xf numFmtId="0" fontId="19" fillId="0" borderId="3" xfId="0" applyFont="1" applyBorder="1" applyProtection="1">
      <protection locked="0"/>
    </xf>
    <xf numFmtId="0" fontId="19" fillId="0" borderId="40" xfId="0" applyFont="1" applyBorder="1" applyAlignment="1" applyProtection="1">
      <alignment horizontal="center"/>
      <protection locked="0"/>
    </xf>
    <xf numFmtId="0" fontId="19"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9" fillId="0" borderId="39" xfId="14" applyFont="1" applyBorder="1" applyAlignment="1" applyProtection="1">
      <alignment vertical="center"/>
      <protection locked="0"/>
    </xf>
    <xf numFmtId="0" fontId="19" fillId="0" borderId="3" xfId="14" applyFont="1" applyBorder="1" applyAlignment="1" applyProtection="1">
      <alignment vertical="center"/>
      <protection locked="0"/>
    </xf>
    <xf numFmtId="0" fontId="19" fillId="0" borderId="62" xfId="14" applyFont="1" applyBorder="1" applyAlignment="1" applyProtection="1">
      <alignment horizontal="left" vertical="center"/>
      <protection locked="0"/>
    </xf>
    <xf numFmtId="0" fontId="19" fillId="0" borderId="63" xfId="14" applyFont="1" applyBorder="1" applyAlignment="1" applyProtection="1">
      <alignment horizontal="left" vertical="center"/>
      <protection locked="0"/>
    </xf>
    <xf numFmtId="0" fontId="19" fillId="0" borderId="64" xfId="14" applyFont="1" applyBorder="1" applyAlignment="1" applyProtection="1">
      <alignment horizontal="left" vertical="center"/>
      <protection locked="0"/>
    </xf>
    <xf numFmtId="0" fontId="19" fillId="0" borderId="24" xfId="14" applyFont="1" applyBorder="1" applyAlignment="1" applyProtection="1">
      <alignment horizontal="left" vertical="center"/>
      <protection locked="0"/>
    </xf>
    <xf numFmtId="0" fontId="19" fillId="0" borderId="3" xfId="14" applyFont="1" applyBorder="1" applyAlignment="1" applyProtection="1">
      <alignment horizontal="left" vertical="center"/>
      <protection locked="0"/>
    </xf>
    <xf numFmtId="0" fontId="19" fillId="0" borderId="65" xfId="14" applyFont="1" applyBorder="1" applyAlignment="1" applyProtection="1">
      <alignment horizontal="left" vertical="center"/>
      <protection locked="0"/>
    </xf>
    <xf numFmtId="0" fontId="19" fillId="0" borderId="24" xfId="14" applyFont="1" applyBorder="1" applyAlignment="1" applyProtection="1">
      <alignment horizontal="left"/>
      <protection locked="0"/>
    </xf>
    <xf numFmtId="0" fontId="19" fillId="0" borderId="3" xfId="14" applyFont="1" applyBorder="1" applyAlignment="1" applyProtection="1">
      <alignment horizontal="left"/>
      <protection locked="0"/>
    </xf>
    <xf numFmtId="0" fontId="19" fillId="0" borderId="65" xfId="14" applyFont="1" applyBorder="1" applyAlignment="1" applyProtection="1">
      <alignment horizontal="left"/>
      <protection locked="0"/>
    </xf>
    <xf numFmtId="1" fontId="19" fillId="0" borderId="24" xfId="0" applyNumberFormat="1" applyFont="1" applyBorder="1" applyProtection="1">
      <protection locked="0"/>
    </xf>
    <xf numFmtId="1" fontId="19" fillId="0" borderId="3" xfId="0" applyNumberFormat="1" applyFont="1" applyBorder="1" applyProtection="1">
      <protection locked="0"/>
    </xf>
    <xf numFmtId="0" fontId="71" fillId="0" borderId="66" xfId="14" applyFont="1" applyBorder="1" applyAlignment="1">
      <alignment vertical="center"/>
    </xf>
    <xf numFmtId="0" fontId="19" fillId="0" borderId="58" xfId="14" applyFont="1" applyBorder="1" applyAlignment="1" applyProtection="1">
      <alignment horizontal="left" vertical="center"/>
      <protection locked="0"/>
    </xf>
    <xf numFmtId="0" fontId="19" fillId="0" borderId="0" xfId="14" applyFont="1" applyAlignment="1" applyProtection="1">
      <alignment horizontal="left" vertical="center"/>
      <protection locked="0"/>
    </xf>
    <xf numFmtId="0" fontId="19" fillId="0" borderId="0" xfId="14" applyFont="1" applyProtection="1">
      <protection locked="0"/>
    </xf>
    <xf numFmtId="2" fontId="19" fillId="0" borderId="0" xfId="0" applyNumberFormat="1" applyFont="1" applyProtection="1">
      <protection locked="0"/>
    </xf>
    <xf numFmtId="1" fontId="19" fillId="0" borderId="0" xfId="0" applyNumberFormat="1" applyFont="1" applyProtection="1">
      <protection locked="0"/>
    </xf>
    <xf numFmtId="0" fontId="19" fillId="0" borderId="0" xfId="14" applyFont="1" applyAlignment="1" applyProtection="1">
      <alignment vertical="center"/>
      <protection locked="0"/>
    </xf>
    <xf numFmtId="0" fontId="19" fillId="0" borderId="67" xfId="14" applyFont="1" applyBorder="1" applyProtection="1">
      <protection locked="0"/>
    </xf>
    <xf numFmtId="0" fontId="19" fillId="0" borderId="63" xfId="14" applyFont="1" applyBorder="1" applyProtection="1">
      <protection locked="0"/>
    </xf>
    <xf numFmtId="0" fontId="19" fillId="0" borderId="64" xfId="14" applyFont="1" applyBorder="1" applyProtection="1">
      <protection locked="0"/>
    </xf>
    <xf numFmtId="0" fontId="19" fillId="0" borderId="11" xfId="0" applyFont="1" applyBorder="1" applyProtection="1">
      <protection locked="0"/>
    </xf>
    <xf numFmtId="2" fontId="19" fillId="0" borderId="11" xfId="0" applyNumberFormat="1" applyFont="1" applyBorder="1" applyProtection="1">
      <protection locked="0"/>
    </xf>
    <xf numFmtId="1" fontId="19" fillId="0" borderId="11" xfId="0" applyNumberFormat="1" applyFont="1" applyBorder="1" applyProtection="1">
      <protection locked="0"/>
    </xf>
    <xf numFmtId="0" fontId="19" fillId="0" borderId="11" xfId="14" applyFont="1" applyBorder="1" applyAlignment="1" applyProtection="1">
      <alignment horizontal="left" vertical="center"/>
      <protection locked="0"/>
    </xf>
    <xf numFmtId="0" fontId="19" fillId="0" borderId="11" xfId="14" applyFont="1" applyBorder="1" applyAlignment="1" applyProtection="1">
      <alignment vertical="center"/>
      <protection locked="0"/>
    </xf>
    <xf numFmtId="0" fontId="19" fillId="0" borderId="14" xfId="14" applyFont="1" applyBorder="1" applyAlignment="1" applyProtection="1">
      <alignment horizontal="left" vertical="center"/>
      <protection locked="0"/>
    </xf>
    <xf numFmtId="0" fontId="19" fillId="0" borderId="68" xfId="14" applyFont="1" applyBorder="1" applyProtection="1">
      <protection locked="0"/>
    </xf>
    <xf numFmtId="0" fontId="19" fillId="0" borderId="69" xfId="14" applyFont="1" applyBorder="1" applyProtection="1">
      <protection locked="0"/>
    </xf>
    <xf numFmtId="0" fontId="19" fillId="0" borderId="8" xfId="14" applyFont="1" applyBorder="1" applyAlignment="1" applyProtection="1">
      <alignment horizontal="left" vertical="center"/>
      <protection locked="0"/>
    </xf>
    <xf numFmtId="0" fontId="19" fillId="0" borderId="9" xfId="0" applyFont="1" applyBorder="1" applyProtection="1">
      <protection locked="0"/>
    </xf>
    <xf numFmtId="2" fontId="19" fillId="0" borderId="9" xfId="0" applyNumberFormat="1" applyFont="1" applyBorder="1" applyProtection="1">
      <protection locked="0"/>
    </xf>
    <xf numFmtId="1" fontId="19" fillId="0" borderId="9" xfId="0" applyNumberFormat="1" applyFont="1" applyBorder="1" applyProtection="1">
      <protection locked="0"/>
    </xf>
    <xf numFmtId="0" fontId="19" fillId="0" borderId="9" xfId="14" applyFont="1" applyBorder="1" applyAlignment="1" applyProtection="1">
      <alignment horizontal="left" vertical="center"/>
      <protection locked="0"/>
    </xf>
    <xf numFmtId="0" fontId="19" fillId="0" borderId="9" xfId="14" applyFont="1" applyBorder="1" applyAlignment="1" applyProtection="1">
      <alignment vertical="center"/>
      <protection locked="0"/>
    </xf>
    <xf numFmtId="0" fontId="19" fillId="0" borderId="21" xfId="14" applyFont="1" applyBorder="1" applyAlignment="1" applyProtection="1">
      <alignment horizontal="left" vertical="center"/>
      <protection locked="0"/>
    </xf>
    <xf numFmtId="0" fontId="19" fillId="0" borderId="58" xfId="0" applyFont="1" applyBorder="1" applyProtection="1">
      <protection locked="0"/>
    </xf>
    <xf numFmtId="2" fontId="19" fillId="0" borderId="58" xfId="0" applyNumberFormat="1" applyFont="1" applyBorder="1" applyProtection="1">
      <protection locked="0"/>
    </xf>
    <xf numFmtId="1" fontId="19" fillId="0" borderId="58" xfId="0" applyNumberFormat="1" applyFont="1" applyBorder="1" applyProtection="1">
      <protection locked="0"/>
    </xf>
    <xf numFmtId="0" fontId="19" fillId="0" borderId="63" xfId="14" applyFont="1" applyBorder="1" applyAlignment="1" applyProtection="1">
      <alignment vertical="center"/>
      <protection locked="0"/>
    </xf>
    <xf numFmtId="0" fontId="19" fillId="0" borderId="40" xfId="14" applyFont="1" applyBorder="1" applyProtection="1">
      <protection locked="0"/>
    </xf>
    <xf numFmtId="0" fontId="19" fillId="0" borderId="0" xfId="14" applyFont="1" applyAlignment="1" applyProtection="1">
      <alignment horizontal="left"/>
      <protection locked="0"/>
    </xf>
    <xf numFmtId="0" fontId="19" fillId="0" borderId="0" xfId="10" applyFont="1" applyAlignment="1" applyProtection="1">
      <alignment horizontal="left"/>
      <protection locked="0"/>
    </xf>
    <xf numFmtId="0" fontId="71" fillId="0" borderId="0" xfId="14" applyFont="1"/>
    <xf numFmtId="49" fontId="0" fillId="0" borderId="0" xfId="0" applyNumberFormat="1" applyProtection="1">
      <protection locked="0"/>
    </xf>
    <xf numFmtId="0" fontId="72" fillId="0" borderId="0" xfId="1" applyFont="1" applyFill="1" applyBorder="1" applyAlignment="1" applyProtection="1">
      <alignment horizontal="left"/>
      <protection locked="0"/>
    </xf>
    <xf numFmtId="0" fontId="72" fillId="0" borderId="0" xfId="1" applyFont="1" applyFill="1" applyBorder="1" applyAlignment="1" applyProtection="1">
      <protection locked="0"/>
    </xf>
    <xf numFmtId="0" fontId="0" fillId="0" borderId="0" xfId="0" applyAlignment="1" applyProtection="1">
      <alignment wrapText="1"/>
      <protection locked="0"/>
    </xf>
    <xf numFmtId="0" fontId="19" fillId="0" borderId="0" xfId="14" quotePrefix="1" applyFont="1" applyProtection="1">
      <protection locked="0"/>
    </xf>
    <xf numFmtId="0" fontId="73" fillId="0" borderId="0" xfId="0" applyFont="1"/>
    <xf numFmtId="0" fontId="41" fillId="0" borderId="1" xfId="0" applyFont="1" applyBorder="1" applyAlignment="1" applyProtection="1">
      <alignment horizontal="center" wrapText="1"/>
      <protection hidden="1"/>
    </xf>
    <xf numFmtId="0" fontId="41" fillId="0" borderId="19" xfId="0" applyFont="1" applyBorder="1" applyAlignment="1" applyProtection="1">
      <alignment horizontal="center" wrapText="1"/>
      <protection hidden="1"/>
    </xf>
    <xf numFmtId="0" fontId="74" fillId="21" borderId="0" xfId="8" applyFont="1" applyFill="1" applyAlignment="1" applyProtection="1">
      <alignment horizontal="center" vertical="center"/>
      <protection hidden="1"/>
    </xf>
    <xf numFmtId="0" fontId="75" fillId="0" borderId="0" xfId="0" applyFont="1" applyAlignment="1" applyProtection="1">
      <alignment horizontal="center" vertical="center" textRotation="90"/>
      <protection locked="0"/>
    </xf>
    <xf numFmtId="0" fontId="19" fillId="0" borderId="70" xfId="14" applyFont="1" applyBorder="1" applyAlignment="1" applyProtection="1">
      <alignment vertical="center"/>
      <protection locked="0"/>
    </xf>
    <xf numFmtId="0" fontId="19" fillId="0" borderId="70" xfId="0" applyFont="1" applyBorder="1" applyProtection="1">
      <protection locked="0"/>
    </xf>
    <xf numFmtId="0" fontId="0" fillId="0" borderId="3" xfId="0" applyBorder="1" applyProtection="1">
      <protection locked="0"/>
    </xf>
    <xf numFmtId="0" fontId="66" fillId="0" borderId="0" xfId="8" applyFont="1" applyProtection="1">
      <protection hidden="1"/>
    </xf>
    <xf numFmtId="0" fontId="73" fillId="0" borderId="0" xfId="0" applyFont="1" applyAlignment="1">
      <alignment wrapText="1"/>
    </xf>
    <xf numFmtId="0" fontId="76" fillId="0" borderId="0" xfId="0" applyFont="1" applyAlignment="1">
      <alignment horizontal="left" vertical="center"/>
    </xf>
    <xf numFmtId="0" fontId="10" fillId="0" borderId="0" xfId="14" applyFont="1" applyAlignment="1" applyProtection="1">
      <alignment vertical="center"/>
      <protection locked="0"/>
    </xf>
    <xf numFmtId="0" fontId="32" fillId="0" borderId="0" xfId="0" applyFont="1" applyAlignment="1" applyProtection="1">
      <alignment horizontal="center" vertical="center"/>
      <protection hidden="1"/>
    </xf>
    <xf numFmtId="0" fontId="0" fillId="0" borderId="70" xfId="0" applyBorder="1"/>
    <xf numFmtId="0" fontId="0" fillId="0" borderId="58" xfId="0" applyBorder="1"/>
    <xf numFmtId="0" fontId="0" fillId="0" borderId="71" xfId="0" applyBorder="1"/>
    <xf numFmtId="0" fontId="0" fillId="0" borderId="0" xfId="0" applyAlignment="1">
      <alignment vertical="center" wrapText="1"/>
    </xf>
    <xf numFmtId="0" fontId="0" fillId="0" borderId="0" xfId="0" applyAlignment="1">
      <alignment wrapText="1"/>
    </xf>
    <xf numFmtId="0" fontId="0" fillId="33" borderId="0" xfId="0" applyFill="1" applyAlignment="1" applyProtection="1">
      <alignment vertical="center"/>
      <protection hidden="1"/>
    </xf>
    <xf numFmtId="0" fontId="77" fillId="0" borderId="0" xfId="0" applyFont="1" applyAlignment="1">
      <alignment horizontal="left" vertical="center"/>
    </xf>
    <xf numFmtId="0" fontId="0" fillId="27" borderId="0" xfId="0" applyFill="1" applyAlignment="1" applyProtection="1">
      <alignment vertical="center"/>
      <protection hidden="1"/>
    </xf>
    <xf numFmtId="0" fontId="51" fillId="33" borderId="107" xfId="0" applyFont="1" applyFill="1" applyBorder="1" applyAlignment="1" applyProtection="1">
      <alignment vertical="top"/>
      <protection hidden="1"/>
    </xf>
    <xf numFmtId="0" fontId="51" fillId="33" borderId="106" xfId="0" applyFont="1" applyFill="1" applyBorder="1" applyAlignment="1" applyProtection="1">
      <alignment vertical="top"/>
      <protection hidden="1"/>
    </xf>
    <xf numFmtId="0" fontId="51" fillId="33" borderId="106" xfId="0" applyFont="1" applyFill="1" applyBorder="1" applyProtection="1">
      <protection hidden="1"/>
    </xf>
    <xf numFmtId="0" fontId="60" fillId="0" borderId="107" xfId="0" applyFont="1" applyBorder="1" applyAlignment="1" applyProtection="1">
      <alignment horizontal="right" vertical="center"/>
      <protection hidden="1"/>
    </xf>
    <xf numFmtId="0" fontId="60" fillId="0" borderId="106" xfId="0" applyFont="1" applyBorder="1" applyAlignment="1" applyProtection="1">
      <alignment horizontal="right" vertical="center"/>
      <protection hidden="1"/>
    </xf>
    <xf numFmtId="0" fontId="78" fillId="0" borderId="0" xfId="0" applyFont="1" applyAlignment="1" applyProtection="1">
      <alignment horizontal="center" vertical="center" textRotation="90"/>
      <protection locked="0"/>
    </xf>
    <xf numFmtId="0" fontId="79" fillId="0" borderId="0" xfId="0" applyFont="1" applyAlignment="1">
      <alignment horizontal="left" vertical="center"/>
    </xf>
    <xf numFmtId="0" fontId="60" fillId="6" borderId="113" xfId="0" applyFont="1" applyFill="1" applyBorder="1" applyAlignment="1" applyProtection="1">
      <alignment vertical="center"/>
      <protection hidden="1"/>
    </xf>
    <xf numFmtId="0" fontId="70" fillId="0" borderId="0" xfId="0" applyFont="1"/>
    <xf numFmtId="0" fontId="0" fillId="0" borderId="72" xfId="0" applyBorder="1" applyAlignment="1" applyProtection="1">
      <alignment vertical="center"/>
      <protection hidden="1"/>
    </xf>
    <xf numFmtId="0" fontId="76" fillId="0" borderId="0" xfId="0" applyFont="1" applyAlignment="1">
      <alignment horizontal="left" vertical="center" wrapText="1"/>
    </xf>
    <xf numFmtId="0" fontId="10" fillId="0" borderId="0" xfId="14" applyFont="1" applyAlignment="1" applyProtection="1">
      <alignment horizontal="left"/>
      <protection locked="0"/>
    </xf>
    <xf numFmtId="0" fontId="103" fillId="0" borderId="0" xfId="0" applyFont="1" applyAlignment="1">
      <alignment vertical="center"/>
    </xf>
    <xf numFmtId="0" fontId="80" fillId="21" borderId="0" xfId="8" applyFont="1" applyFill="1" applyAlignment="1" applyProtection="1">
      <alignment horizontal="center" vertical="center" wrapText="1"/>
      <protection locked="0" hidden="1"/>
    </xf>
    <xf numFmtId="0" fontId="61" fillId="0" borderId="0" xfId="9" applyFont="1" applyAlignment="1" applyProtection="1">
      <alignment horizontal="center" vertical="center" wrapText="1"/>
      <protection locked="0" hidden="1"/>
    </xf>
    <xf numFmtId="0" fontId="61" fillId="0" borderId="17" xfId="9" applyFont="1" applyBorder="1" applyAlignment="1" applyProtection="1">
      <alignment horizontal="center" vertical="center" wrapText="1"/>
      <protection locked="0" hidden="1"/>
    </xf>
    <xf numFmtId="0" fontId="81" fillId="21" borderId="0" xfId="8" applyFont="1" applyFill="1" applyAlignment="1" applyProtection="1">
      <alignment horizontal="center" vertical="center"/>
      <protection locked="0" hidden="1"/>
    </xf>
    <xf numFmtId="0" fontId="0" fillId="0" borderId="0" xfId="0" applyAlignment="1" applyProtection="1">
      <alignment horizontal="left"/>
      <protection hidden="1"/>
    </xf>
    <xf numFmtId="0" fontId="0" fillId="22" borderId="0" xfId="0" applyFill="1" applyAlignment="1" applyProtection="1">
      <alignment horizontal="center"/>
      <protection locked="0" hidden="1"/>
    </xf>
    <xf numFmtId="0" fontId="58" fillId="21" borderId="110" xfId="1" applyFont="1" applyFill="1" applyBorder="1" applyAlignment="1" applyProtection="1">
      <alignment horizontal="center" vertical="center"/>
      <protection locked="0" hidden="1"/>
    </xf>
    <xf numFmtId="0" fontId="58" fillId="21" borderId="0" xfId="1" applyFont="1" applyFill="1" applyBorder="1" applyAlignment="1" applyProtection="1">
      <alignment horizontal="center" vertical="center"/>
      <protection locked="0" hidden="1"/>
    </xf>
    <xf numFmtId="0" fontId="14" fillId="28" borderId="0" xfId="0" applyFont="1" applyFill="1" applyAlignment="1" applyProtection="1">
      <alignment horizontal="left" indent="1"/>
      <protection hidden="1"/>
    </xf>
    <xf numFmtId="0" fontId="0" fillId="28" borderId="0" xfId="0" applyFill="1" applyAlignment="1" applyProtection="1">
      <alignment horizontal="center"/>
      <protection locked="0" hidden="1"/>
    </xf>
    <xf numFmtId="0" fontId="14" fillId="21" borderId="100" xfId="0" applyFont="1" applyFill="1" applyBorder="1" applyAlignment="1" applyProtection="1">
      <alignment horizontal="left" indent="1"/>
      <protection hidden="1"/>
    </xf>
    <xf numFmtId="0" fontId="34" fillId="0" borderId="0" xfId="0" applyFont="1" applyAlignment="1" applyProtection="1">
      <alignment horizontal="center" wrapText="1"/>
      <protection hidden="1"/>
    </xf>
    <xf numFmtId="9" fontId="10" fillId="22" borderId="0" xfId="18" applyFont="1" applyFill="1" applyBorder="1" applyAlignment="1" applyProtection="1">
      <alignment horizontal="center"/>
      <protection locked="0" hidden="1"/>
    </xf>
    <xf numFmtId="0" fontId="19" fillId="0" borderId="0" xfId="0" applyFont="1" applyAlignment="1" applyProtection="1">
      <alignment horizontal="left" wrapText="1"/>
      <protection hidden="1"/>
    </xf>
    <xf numFmtId="0" fontId="70" fillId="0" borderId="0" xfId="0" applyFont="1" applyAlignment="1" applyProtection="1">
      <alignment horizontal="left" wrapText="1"/>
      <protection hidden="1"/>
    </xf>
    <xf numFmtId="0" fontId="51" fillId="21" borderId="111" xfId="0" applyFont="1" applyFill="1" applyBorder="1" applyAlignment="1" applyProtection="1">
      <alignment horizontal="left" vertical="center" indent="1"/>
      <protection hidden="1"/>
    </xf>
    <xf numFmtId="0" fontId="51" fillId="21" borderId="106" xfId="0" applyFont="1" applyFill="1" applyBorder="1" applyAlignment="1" applyProtection="1">
      <alignment horizontal="left" vertical="center" indent="1"/>
      <protection hidden="1"/>
    </xf>
    <xf numFmtId="0" fontId="26" fillId="22" borderId="106" xfId="0" applyFont="1" applyFill="1" applyBorder="1" applyAlignment="1" applyProtection="1">
      <alignment horizontal="center" vertical="center"/>
      <protection locked="0" hidden="1"/>
    </xf>
    <xf numFmtId="0" fontId="26" fillId="22" borderId="114" xfId="0" applyFont="1" applyFill="1" applyBorder="1" applyAlignment="1" applyProtection="1">
      <alignment horizontal="center" vertical="center"/>
      <protection locked="0" hidden="1"/>
    </xf>
    <xf numFmtId="165" fontId="26" fillId="22" borderId="106" xfId="0" applyNumberFormat="1" applyFont="1" applyFill="1" applyBorder="1" applyAlignment="1" applyProtection="1">
      <alignment horizontal="center" vertical="center"/>
      <protection locked="0" hidden="1"/>
    </xf>
    <xf numFmtId="165" fontId="26" fillId="22" borderId="114" xfId="0" applyNumberFormat="1" applyFont="1" applyFill="1" applyBorder="1" applyAlignment="1" applyProtection="1">
      <alignment horizontal="center" vertical="center"/>
      <protection locked="0" hidden="1"/>
    </xf>
    <xf numFmtId="0" fontId="51" fillId="21" borderId="110" xfId="0" applyFont="1" applyFill="1" applyBorder="1" applyAlignment="1" applyProtection="1">
      <alignment horizontal="right" vertical="center" indent="1"/>
      <protection hidden="1"/>
    </xf>
    <xf numFmtId="0" fontId="51" fillId="21" borderId="0" xfId="0" applyFont="1" applyFill="1" applyAlignment="1" applyProtection="1">
      <alignment horizontal="right" vertical="center" indent="1"/>
      <protection hidden="1"/>
    </xf>
    <xf numFmtId="0" fontId="51" fillId="21" borderId="115" xfId="0" applyFont="1" applyFill="1" applyBorder="1" applyAlignment="1" applyProtection="1">
      <alignment horizontal="right" vertical="center" indent="1"/>
      <protection hidden="1"/>
    </xf>
    <xf numFmtId="0" fontId="51" fillId="21" borderId="9" xfId="0" applyFont="1" applyFill="1" applyBorder="1" applyAlignment="1" applyProtection="1">
      <alignment horizontal="right" vertical="center" indent="1"/>
      <protection hidden="1"/>
    </xf>
    <xf numFmtId="0" fontId="0" fillId="6" borderId="0" xfId="0" applyFill="1" applyAlignment="1" applyProtection="1">
      <alignment horizontal="center" vertical="center"/>
      <protection hidden="1"/>
    </xf>
    <xf numFmtId="0" fontId="0" fillId="6" borderId="9" xfId="0" applyFill="1" applyBorder="1" applyAlignment="1" applyProtection="1">
      <alignment horizontal="center" vertical="center"/>
      <protection hidden="1"/>
    </xf>
    <xf numFmtId="2" fontId="68" fillId="22" borderId="0" xfId="0" applyNumberFormat="1" applyFont="1" applyFill="1" applyAlignment="1" applyProtection="1">
      <alignment horizontal="center" vertical="center"/>
      <protection hidden="1"/>
    </xf>
    <xf numFmtId="2" fontId="68" fillId="22" borderId="109" xfId="0" applyNumberFormat="1" applyFont="1" applyFill="1" applyBorder="1" applyAlignment="1" applyProtection="1">
      <alignment horizontal="center" vertical="center"/>
      <protection hidden="1"/>
    </xf>
    <xf numFmtId="2" fontId="68" fillId="22" borderId="9" xfId="0" applyNumberFormat="1" applyFont="1" applyFill="1" applyBorder="1" applyAlignment="1" applyProtection="1">
      <alignment horizontal="center" vertical="center"/>
      <protection hidden="1"/>
    </xf>
    <xf numFmtId="2" fontId="68" fillId="22" borderId="116" xfId="0" applyNumberFormat="1" applyFont="1" applyFill="1" applyBorder="1" applyAlignment="1" applyProtection="1">
      <alignment horizontal="center" vertical="center"/>
      <protection hidden="1"/>
    </xf>
    <xf numFmtId="0" fontId="27" fillId="22" borderId="106" xfId="0" applyFont="1" applyFill="1" applyBorder="1" applyAlignment="1" applyProtection="1">
      <alignment horizontal="center"/>
      <protection locked="0" hidden="1"/>
    </xf>
    <xf numFmtId="0" fontId="27" fillId="22" borderId="114" xfId="0" applyFont="1" applyFill="1" applyBorder="1" applyAlignment="1" applyProtection="1">
      <alignment horizontal="center"/>
      <protection locked="0" hidden="1"/>
    </xf>
    <xf numFmtId="0" fontId="60" fillId="0" borderId="106" xfId="0" applyFont="1" applyBorder="1" applyAlignment="1" applyProtection="1">
      <alignment horizontal="center" vertical="center"/>
      <protection hidden="1"/>
    </xf>
    <xf numFmtId="0" fontId="60" fillId="0" borderId="114" xfId="0" applyFont="1" applyBorder="1" applyAlignment="1" applyProtection="1">
      <alignment horizontal="center" vertical="center"/>
      <protection hidden="1"/>
    </xf>
    <xf numFmtId="0" fontId="19" fillId="0" borderId="0" xfId="0" applyFont="1" applyAlignment="1" applyProtection="1">
      <alignment horizontal="center"/>
      <protection locked="0"/>
    </xf>
    <xf numFmtId="0" fontId="75" fillId="0" borderId="74" xfId="0" applyFont="1" applyBorder="1" applyAlignment="1" applyProtection="1">
      <alignment horizontal="center" vertical="center" textRotation="90"/>
      <protection locked="0"/>
    </xf>
    <xf numFmtId="0" fontId="75" fillId="0" borderId="75" xfId="0" applyFont="1" applyBorder="1" applyAlignment="1" applyProtection="1">
      <alignment horizontal="center" vertical="center" textRotation="90"/>
      <protection locked="0"/>
    </xf>
    <xf numFmtId="0" fontId="75" fillId="0" borderId="76" xfId="0" applyFont="1" applyBorder="1" applyAlignment="1" applyProtection="1">
      <alignment horizontal="center" vertical="center" textRotation="90"/>
      <protection locked="0"/>
    </xf>
    <xf numFmtId="0" fontId="78" fillId="0" borderId="0" xfId="0" applyFont="1" applyAlignment="1" applyProtection="1">
      <alignment horizontal="center" vertical="center" textRotation="90"/>
      <protection locked="0"/>
    </xf>
    <xf numFmtId="0" fontId="67" fillId="0" borderId="13" xfId="0" applyFont="1" applyBorder="1" applyAlignment="1" applyProtection="1">
      <alignment horizontal="center" vertical="center" textRotation="90" wrapText="1"/>
      <protection locked="0"/>
    </xf>
    <xf numFmtId="0" fontId="67" fillId="0" borderId="15" xfId="0" applyFont="1" applyBorder="1" applyAlignment="1" applyProtection="1">
      <alignment horizontal="center" vertical="center" textRotation="90" wrapText="1"/>
      <protection locked="0"/>
    </xf>
    <xf numFmtId="0" fontId="67" fillId="0" borderId="20" xfId="0" applyFont="1" applyBorder="1" applyAlignment="1" applyProtection="1">
      <alignment horizontal="center" vertical="center" textRotation="90" wrapText="1"/>
      <protection locked="0"/>
    </xf>
    <xf numFmtId="0" fontId="19" fillId="0" borderId="22" xfId="0" applyFont="1" applyBorder="1" applyAlignment="1" applyProtection="1">
      <alignment horizontal="center"/>
      <protection locked="0"/>
    </xf>
    <xf numFmtId="0" fontId="19" fillId="0" borderId="24" xfId="0" applyFont="1" applyBorder="1" applyAlignment="1" applyProtection="1">
      <alignment horizontal="center"/>
      <protection locked="0"/>
    </xf>
    <xf numFmtId="0" fontId="19" fillId="0" borderId="73" xfId="0" applyFont="1" applyBorder="1" applyAlignment="1" applyProtection="1">
      <alignment horizontal="center"/>
      <protection locked="0"/>
    </xf>
    <xf numFmtId="0" fontId="19" fillId="0" borderId="41" xfId="0" applyFont="1" applyBorder="1" applyAlignment="1" applyProtection="1">
      <alignment horizontal="center"/>
      <protection locked="0"/>
    </xf>
    <xf numFmtId="0" fontId="17" fillId="28" borderId="0" xfId="0" applyFont="1" applyFill="1" applyAlignment="1" applyProtection="1">
      <alignment horizontal="center" vertical="center"/>
      <protection locked="0" hidden="1"/>
    </xf>
    <xf numFmtId="0" fontId="58" fillId="33" borderId="110" xfId="1" applyFont="1" applyFill="1" applyBorder="1" applyAlignment="1" applyProtection="1">
      <alignment horizontal="center" vertical="center"/>
      <protection locked="0" hidden="1"/>
    </xf>
    <xf numFmtId="0" fontId="58" fillId="33" borderId="0" xfId="1" applyFont="1" applyFill="1" applyBorder="1" applyAlignment="1" applyProtection="1">
      <alignment horizontal="center" vertical="center"/>
      <protection locked="0" hidden="1"/>
    </xf>
    <xf numFmtId="0" fontId="81" fillId="33" borderId="83" xfId="8" applyFont="1" applyFill="1" applyBorder="1" applyAlignment="1" applyProtection="1">
      <alignment horizontal="center" vertical="center"/>
      <protection locked="0" hidden="1"/>
    </xf>
    <xf numFmtId="165" fontId="28" fillId="6" borderId="0" xfId="0" applyNumberFormat="1" applyFont="1" applyFill="1" applyAlignment="1" applyProtection="1">
      <alignment horizontal="center" vertical="center" textRotation="90"/>
      <protection locked="0" hidden="1"/>
    </xf>
    <xf numFmtId="0" fontId="89" fillId="33" borderId="0" xfId="8" applyFont="1" applyFill="1" applyAlignment="1" applyProtection="1">
      <alignment horizontal="center" vertical="center"/>
      <protection hidden="1"/>
    </xf>
    <xf numFmtId="0" fontId="26" fillId="28" borderId="106" xfId="0" applyFont="1" applyFill="1" applyBorder="1" applyAlignment="1" applyProtection="1">
      <alignment horizontal="center" vertical="center"/>
      <protection hidden="1"/>
    </xf>
    <xf numFmtId="0" fontId="26" fillId="28" borderId="112" xfId="0" applyFont="1" applyFill="1" applyBorder="1" applyAlignment="1" applyProtection="1">
      <alignment horizontal="center" vertical="center"/>
      <protection hidden="1"/>
    </xf>
    <xf numFmtId="0" fontId="26" fillId="10" borderId="106" xfId="0" applyFont="1" applyFill="1" applyBorder="1" applyAlignment="1" applyProtection="1">
      <alignment horizontal="center" vertical="center"/>
      <protection locked="0" hidden="1"/>
    </xf>
    <xf numFmtId="0" fontId="26" fillId="10" borderId="112" xfId="0" applyFont="1" applyFill="1" applyBorder="1" applyAlignment="1" applyProtection="1">
      <alignment horizontal="center" vertical="center"/>
      <protection locked="0" hidden="1"/>
    </xf>
    <xf numFmtId="0" fontId="26" fillId="22" borderId="123" xfId="0" applyFont="1" applyFill="1" applyBorder="1" applyAlignment="1" applyProtection="1">
      <alignment horizontal="center" vertical="center"/>
      <protection locked="0" hidden="1"/>
    </xf>
    <xf numFmtId="0" fontId="26" fillId="28" borderId="123" xfId="0" applyFont="1" applyFill="1" applyBorder="1" applyAlignment="1" applyProtection="1">
      <alignment horizontal="center" vertical="center"/>
      <protection hidden="1"/>
    </xf>
    <xf numFmtId="0" fontId="51" fillId="33" borderId="107" xfId="0" applyFont="1" applyFill="1" applyBorder="1" applyAlignment="1" applyProtection="1">
      <alignment horizontal="right" vertical="center"/>
      <protection hidden="1"/>
    </xf>
    <xf numFmtId="0" fontId="51" fillId="33" borderId="106" xfId="0" applyFont="1" applyFill="1" applyBorder="1" applyAlignment="1" applyProtection="1">
      <alignment horizontal="right" vertical="center"/>
      <protection hidden="1"/>
    </xf>
    <xf numFmtId="0" fontId="34" fillId="0" borderId="0" xfId="0" applyFont="1" applyAlignment="1" applyProtection="1">
      <alignment horizontal="center" vertical="center" wrapText="1"/>
      <protection hidden="1"/>
    </xf>
    <xf numFmtId="0" fontId="34" fillId="0" borderId="17" xfId="0" applyFont="1" applyBorder="1" applyAlignment="1" applyProtection="1">
      <alignment horizontal="center" vertical="center" wrapText="1"/>
      <protection hidden="1"/>
    </xf>
    <xf numFmtId="0" fontId="88" fillId="0" borderId="0" xfId="0" applyFont="1" applyAlignment="1" applyProtection="1">
      <alignment horizontal="left" vertical="center" wrapText="1"/>
      <protection hidden="1"/>
    </xf>
    <xf numFmtId="165" fontId="83" fillId="28" borderId="0" xfId="0" applyNumberFormat="1" applyFont="1" applyFill="1" applyAlignment="1" applyProtection="1">
      <alignment horizontal="center" vertical="center" textRotation="180"/>
      <protection locked="0" hidden="1"/>
    </xf>
    <xf numFmtId="0" fontId="0" fillId="34" borderId="26" xfId="0" applyFill="1" applyBorder="1" applyAlignment="1" applyProtection="1">
      <alignment horizontal="center" vertical="center" textRotation="90"/>
      <protection hidden="1"/>
    </xf>
    <xf numFmtId="0" fontId="70" fillId="28" borderId="80" xfId="0" applyFont="1" applyFill="1" applyBorder="1" applyAlignment="1" applyProtection="1">
      <alignment horizontal="left" vertical="center" wrapText="1"/>
      <protection hidden="1"/>
    </xf>
    <xf numFmtId="0" fontId="70" fillId="28" borderId="0" xfId="0" applyFont="1" applyFill="1" applyAlignment="1" applyProtection="1">
      <alignment horizontal="left" vertical="center" wrapText="1"/>
      <protection hidden="1"/>
    </xf>
    <xf numFmtId="0" fontId="70" fillId="28" borderId="72" xfId="0" applyFont="1" applyFill="1" applyBorder="1" applyAlignment="1" applyProtection="1">
      <alignment horizontal="left" vertical="center" wrapText="1"/>
      <protection hidden="1"/>
    </xf>
    <xf numFmtId="0" fontId="26" fillId="22" borderId="112" xfId="0" applyFont="1" applyFill="1" applyBorder="1" applyAlignment="1" applyProtection="1">
      <alignment horizontal="center" vertical="center"/>
      <protection locked="0" hidden="1"/>
    </xf>
    <xf numFmtId="0" fontId="51" fillId="33" borderId="120" xfId="0" applyFont="1" applyFill="1" applyBorder="1" applyAlignment="1" applyProtection="1">
      <alignment horizontal="left" vertical="center"/>
      <protection hidden="1"/>
    </xf>
    <xf numFmtId="0" fontId="51" fillId="33" borderId="121" xfId="0" applyFont="1" applyFill="1" applyBorder="1" applyAlignment="1" applyProtection="1">
      <alignment horizontal="left" vertical="center"/>
      <protection hidden="1"/>
    </xf>
    <xf numFmtId="0" fontId="18" fillId="28" borderId="0" xfId="0" applyFont="1" applyFill="1" applyAlignment="1" applyProtection="1">
      <alignment horizontal="center" vertical="center"/>
      <protection hidden="1"/>
    </xf>
    <xf numFmtId="0" fontId="18" fillId="28" borderId="0" xfId="0" applyFont="1" applyFill="1" applyAlignment="1" applyProtection="1">
      <alignment horizontal="center" vertical="center" textRotation="180"/>
      <protection hidden="1"/>
    </xf>
    <xf numFmtId="0" fontId="26" fillId="10" borderId="113" xfId="0" applyFont="1" applyFill="1" applyBorder="1" applyAlignment="1" applyProtection="1">
      <alignment horizontal="center" wrapText="1"/>
      <protection locked="0" hidden="1"/>
    </xf>
    <xf numFmtId="0" fontId="26" fillId="10" borderId="122" xfId="0" applyFont="1" applyFill="1" applyBorder="1" applyAlignment="1" applyProtection="1">
      <alignment horizontal="center" wrapText="1"/>
      <protection locked="0" hidden="1"/>
    </xf>
    <xf numFmtId="2" fontId="82" fillId="10" borderId="0" xfId="0" applyNumberFormat="1" applyFont="1" applyFill="1" applyAlignment="1" applyProtection="1">
      <alignment horizontal="right" vertical="center"/>
      <protection hidden="1"/>
    </xf>
    <xf numFmtId="2" fontId="82" fillId="10" borderId="9" xfId="0" applyNumberFormat="1" applyFont="1" applyFill="1" applyBorder="1" applyAlignment="1" applyProtection="1">
      <alignment horizontal="right" vertical="center"/>
      <protection hidden="1"/>
    </xf>
    <xf numFmtId="165" fontId="28" fillId="34" borderId="117" xfId="0" applyNumberFormat="1" applyFont="1" applyFill="1" applyBorder="1" applyAlignment="1" applyProtection="1">
      <alignment horizontal="center" vertical="center"/>
      <protection locked="0" hidden="1"/>
    </xf>
    <xf numFmtId="0" fontId="50" fillId="10" borderId="106" xfId="0" applyFont="1" applyFill="1" applyBorder="1" applyAlignment="1" applyProtection="1">
      <alignment horizontal="center" vertical="center"/>
      <protection locked="0" hidden="1"/>
    </xf>
    <xf numFmtId="0" fontId="65" fillId="33" borderId="107" xfId="0" applyFont="1" applyFill="1" applyBorder="1" applyAlignment="1" applyProtection="1">
      <alignment horizontal="center" vertical="center"/>
      <protection hidden="1"/>
    </xf>
    <xf numFmtId="0" fontId="65" fillId="33" borderId="106" xfId="0" applyFont="1" applyFill="1" applyBorder="1" applyAlignment="1" applyProtection="1">
      <alignment horizontal="center" vertical="center"/>
      <protection hidden="1"/>
    </xf>
    <xf numFmtId="0" fontId="51" fillId="21" borderId="107" xfId="0" applyFont="1" applyFill="1" applyBorder="1" applyAlignment="1" applyProtection="1">
      <alignment horizontal="left" vertical="center"/>
      <protection hidden="1"/>
    </xf>
    <xf numFmtId="0" fontId="51" fillId="21" borderId="106" xfId="0" applyFont="1" applyFill="1" applyBorder="1" applyAlignment="1" applyProtection="1">
      <alignment horizontal="left" vertical="center"/>
      <protection hidden="1"/>
    </xf>
    <xf numFmtId="0" fontId="86" fillId="36" borderId="119" xfId="0" applyFont="1" applyFill="1" applyBorder="1" applyAlignment="1" applyProtection="1">
      <alignment horizontal="center" vertical="center"/>
      <protection hidden="1"/>
    </xf>
    <xf numFmtId="0" fontId="86" fillId="36" borderId="117" xfId="0" applyFont="1" applyFill="1" applyBorder="1" applyAlignment="1" applyProtection="1">
      <alignment horizontal="center" vertical="center"/>
      <protection hidden="1"/>
    </xf>
    <xf numFmtId="0" fontId="70" fillId="0" borderId="11" xfId="0" applyFont="1" applyBorder="1" applyAlignment="1">
      <alignment horizontal="center"/>
    </xf>
    <xf numFmtId="0" fontId="70" fillId="0" borderId="14" xfId="0" applyFont="1" applyBorder="1" applyAlignment="1">
      <alignment horizontal="center"/>
    </xf>
    <xf numFmtId="0" fontId="70" fillId="28" borderId="77" xfId="0" applyFont="1" applyFill="1" applyBorder="1" applyAlignment="1" applyProtection="1">
      <alignment horizontal="left" vertical="center" wrapText="1"/>
      <protection hidden="1"/>
    </xf>
    <xf numFmtId="0" fontId="70" fillId="28" borderId="78" xfId="0" applyFont="1" applyFill="1" applyBorder="1" applyAlignment="1" applyProtection="1">
      <alignment horizontal="left" vertical="center" wrapText="1"/>
      <protection hidden="1"/>
    </xf>
    <xf numFmtId="0" fontId="70" fillId="28" borderId="79" xfId="0" applyFont="1" applyFill="1" applyBorder="1" applyAlignment="1" applyProtection="1">
      <alignment horizontal="left" vertical="center" wrapText="1"/>
      <protection hidden="1"/>
    </xf>
    <xf numFmtId="0" fontId="26" fillId="36" borderId="0" xfId="0" applyFont="1" applyFill="1" applyAlignment="1" applyProtection="1">
      <alignment horizontal="center" vertical="center"/>
      <protection locked="0" hidden="1"/>
    </xf>
    <xf numFmtId="0" fontId="0" fillId="34" borderId="19" xfId="0" applyFill="1" applyBorder="1" applyAlignment="1" applyProtection="1">
      <alignment horizontal="center" vertical="center"/>
      <protection hidden="1"/>
    </xf>
    <xf numFmtId="165" fontId="83" fillId="28" borderId="0" xfId="0" applyNumberFormat="1" applyFont="1" applyFill="1" applyAlignment="1" applyProtection="1">
      <alignment horizontal="center" vertical="center" textRotation="90"/>
      <protection locked="0" hidden="1"/>
    </xf>
    <xf numFmtId="0" fontId="18" fillId="28" borderId="0" xfId="0" applyFont="1" applyFill="1" applyAlignment="1" applyProtection="1">
      <alignment horizontal="center" vertical="center" textRotation="90"/>
      <protection hidden="1"/>
    </xf>
    <xf numFmtId="0" fontId="27" fillId="10" borderId="106" xfId="0" applyFont="1" applyFill="1" applyBorder="1" applyAlignment="1" applyProtection="1">
      <alignment horizontal="center" vertical="center"/>
      <protection locked="0" hidden="1"/>
    </xf>
    <xf numFmtId="0" fontId="27" fillId="10" borderId="112" xfId="0" applyFont="1" applyFill="1" applyBorder="1" applyAlignment="1" applyProtection="1">
      <alignment horizontal="center" vertical="center"/>
      <protection locked="0" hidden="1"/>
    </xf>
    <xf numFmtId="0" fontId="70" fillId="28" borderId="81" xfId="0" applyFont="1" applyFill="1" applyBorder="1" applyAlignment="1" applyProtection="1">
      <alignment horizontal="left" vertical="center" wrapText="1"/>
      <protection hidden="1"/>
    </xf>
    <xf numFmtId="0" fontId="70" fillId="28" borderId="59" xfId="0" applyFont="1" applyFill="1" applyBorder="1" applyAlignment="1" applyProtection="1">
      <alignment horizontal="left" vertical="center" wrapText="1"/>
      <protection hidden="1"/>
    </xf>
    <xf numFmtId="0" fontId="70" fillId="28" borderId="82" xfId="0" applyFont="1" applyFill="1" applyBorder="1" applyAlignment="1" applyProtection="1">
      <alignment horizontal="left" vertical="center" wrapText="1"/>
      <protection hidden="1"/>
    </xf>
    <xf numFmtId="0" fontId="28" fillId="36" borderId="107" xfId="0" applyFont="1" applyFill="1" applyBorder="1" applyAlignment="1" applyProtection="1">
      <alignment horizontal="right" vertical="center"/>
      <protection hidden="1"/>
    </xf>
    <xf numFmtId="0" fontId="28" fillId="36" borderId="106" xfId="0" applyFont="1" applyFill="1" applyBorder="1" applyAlignment="1" applyProtection="1">
      <alignment horizontal="right" vertical="center"/>
      <protection hidden="1"/>
    </xf>
    <xf numFmtId="0" fontId="84" fillId="21" borderId="0" xfId="1" applyFont="1" applyFill="1" applyBorder="1" applyAlignment="1" applyProtection="1">
      <alignment horizontal="center" vertical="center"/>
      <protection locked="0" hidden="1"/>
    </xf>
    <xf numFmtId="0" fontId="70" fillId="9" borderId="0" xfId="0" applyFont="1" applyFill="1" applyAlignment="1" applyProtection="1">
      <alignment horizontal="left" vertical="center" wrapText="1"/>
      <protection hidden="1"/>
    </xf>
    <xf numFmtId="165" fontId="85" fillId="28" borderId="0" xfId="0" applyNumberFormat="1" applyFont="1" applyFill="1" applyAlignment="1" applyProtection="1">
      <alignment horizontal="center" vertical="center"/>
      <protection locked="0" hidden="1"/>
    </xf>
    <xf numFmtId="0" fontId="18" fillId="0" borderId="0" xfId="0" applyFont="1" applyAlignment="1" applyProtection="1">
      <alignment horizontal="left" vertical="center"/>
      <protection hidden="1"/>
    </xf>
    <xf numFmtId="0" fontId="14" fillId="35" borderId="0" xfId="0" applyFont="1" applyFill="1" applyAlignment="1" applyProtection="1">
      <alignment horizontal="center" vertical="center"/>
      <protection hidden="1"/>
    </xf>
    <xf numFmtId="0" fontId="26" fillId="0" borderId="0" xfId="0" applyFont="1" applyAlignment="1" applyProtection="1">
      <alignment horizontal="left" vertical="center"/>
      <protection hidden="1"/>
    </xf>
    <xf numFmtId="0" fontId="26" fillId="34" borderId="106" xfId="0" applyFont="1" applyFill="1" applyBorder="1" applyAlignment="1" applyProtection="1">
      <alignment horizontal="center" vertical="center"/>
      <protection locked="0" hidden="1"/>
    </xf>
    <xf numFmtId="0" fontId="26" fillId="34" borderId="112" xfId="0" applyFont="1" applyFill="1" applyBorder="1" applyAlignment="1" applyProtection="1">
      <alignment horizontal="center" vertical="center"/>
      <protection locked="0" hidden="1"/>
    </xf>
    <xf numFmtId="0" fontId="0" fillId="10" borderId="106" xfId="0" applyFill="1" applyBorder="1" applyAlignment="1" applyProtection="1">
      <alignment horizontal="center" vertical="center"/>
      <protection locked="0" hidden="1"/>
    </xf>
    <xf numFmtId="0" fontId="0" fillId="10" borderId="112" xfId="0" applyFill="1" applyBorder="1" applyAlignment="1" applyProtection="1">
      <alignment horizontal="center" vertical="center"/>
      <protection locked="0" hidden="1"/>
    </xf>
    <xf numFmtId="0" fontId="87" fillId="33" borderId="106" xfId="0" applyFont="1" applyFill="1" applyBorder="1" applyAlignment="1" applyProtection="1">
      <alignment horizontal="center" vertical="center"/>
      <protection hidden="1"/>
    </xf>
    <xf numFmtId="165" fontId="26" fillId="10" borderId="106" xfId="0" applyNumberFormat="1" applyFont="1" applyFill="1" applyBorder="1" applyAlignment="1" applyProtection="1">
      <alignment horizontal="center" vertical="center"/>
      <protection locked="0" hidden="1"/>
    </xf>
    <xf numFmtId="165" fontId="26" fillId="10" borderId="112" xfId="0" applyNumberFormat="1" applyFont="1" applyFill="1" applyBorder="1" applyAlignment="1" applyProtection="1">
      <alignment horizontal="center" vertical="center"/>
      <protection locked="0" hidden="1"/>
    </xf>
    <xf numFmtId="0" fontId="14" fillId="35" borderId="0" xfId="0" applyFont="1" applyFill="1" applyAlignment="1" applyProtection="1">
      <alignment horizontal="center" vertical="center" textRotation="90"/>
      <protection hidden="1"/>
    </xf>
    <xf numFmtId="165" fontId="83" fillId="28" borderId="0" xfId="0" applyNumberFormat="1" applyFont="1" applyFill="1" applyAlignment="1" applyProtection="1">
      <alignment horizontal="center" vertical="center"/>
      <protection locked="0" hidden="1"/>
    </xf>
    <xf numFmtId="0" fontId="18" fillId="0" borderId="0" xfId="0" applyFont="1" applyAlignment="1" applyProtection="1">
      <alignment horizontal="right" vertical="center" textRotation="90" wrapText="1"/>
      <protection hidden="1"/>
    </xf>
    <xf numFmtId="2" fontId="82" fillId="10" borderId="0" xfId="0" applyNumberFormat="1" applyFont="1" applyFill="1" applyAlignment="1" applyProtection="1">
      <alignment horizontal="left" vertical="center"/>
      <protection hidden="1"/>
    </xf>
    <xf numFmtId="2" fontId="82" fillId="10" borderId="8" xfId="0" applyNumberFormat="1" applyFont="1" applyFill="1" applyBorder="1" applyAlignment="1" applyProtection="1">
      <alignment horizontal="left" vertical="center"/>
      <protection hidden="1"/>
    </xf>
    <xf numFmtId="2" fontId="82" fillId="10" borderId="9" xfId="0" applyNumberFormat="1" applyFont="1" applyFill="1" applyBorder="1" applyAlignment="1" applyProtection="1">
      <alignment horizontal="left" vertical="center"/>
      <protection hidden="1"/>
    </xf>
    <xf numFmtId="2" fontId="82" fillId="10" borderId="21" xfId="0" applyNumberFormat="1" applyFont="1" applyFill="1" applyBorder="1" applyAlignment="1" applyProtection="1">
      <alignment horizontal="left" vertical="center"/>
      <protection hidden="1"/>
    </xf>
    <xf numFmtId="165" fontId="28" fillId="6" borderId="0" xfId="0" applyNumberFormat="1" applyFont="1" applyFill="1" applyAlignment="1" applyProtection="1">
      <alignment horizontal="center" vertical="center"/>
      <protection locked="0" hidden="1"/>
    </xf>
    <xf numFmtId="0" fontId="18" fillId="0" borderId="0" xfId="0" applyFont="1" applyAlignment="1" applyProtection="1">
      <alignment horizontal="left" vertical="center" textRotation="180" wrapText="1"/>
      <protection hidden="1"/>
    </xf>
    <xf numFmtId="165" fontId="28" fillId="34" borderId="118" xfId="0" applyNumberFormat="1" applyFont="1" applyFill="1" applyBorder="1" applyAlignment="1" applyProtection="1">
      <alignment horizontal="center" vertical="center"/>
      <protection locked="0" hidden="1"/>
    </xf>
    <xf numFmtId="169" fontId="50" fillId="0" borderId="0" xfId="0" applyNumberFormat="1" applyFont="1" applyAlignment="1" applyProtection="1">
      <alignment horizontal="center" vertical="center"/>
      <protection hidden="1"/>
    </xf>
    <xf numFmtId="169" fontId="50" fillId="0" borderId="8" xfId="0" applyNumberFormat="1" applyFont="1" applyBorder="1" applyAlignment="1" applyProtection="1">
      <alignment horizontal="center" vertical="center"/>
      <protection hidden="1"/>
    </xf>
    <xf numFmtId="0" fontId="60" fillId="0" borderId="112" xfId="0" applyFont="1" applyBorder="1" applyAlignment="1" applyProtection="1">
      <alignment horizontal="center" vertical="center"/>
      <protection hidden="1"/>
    </xf>
    <xf numFmtId="0" fontId="51" fillId="33" borderId="15" xfId="0" applyFont="1" applyFill="1" applyBorder="1" applyAlignment="1" applyProtection="1">
      <alignment horizontal="right" vertical="center" indent="1"/>
      <protection hidden="1"/>
    </xf>
    <xf numFmtId="0" fontId="51" fillId="33" borderId="0" xfId="0" applyFont="1" applyFill="1" applyAlignment="1" applyProtection="1">
      <alignment horizontal="right" vertical="center" indent="1"/>
      <protection hidden="1"/>
    </xf>
    <xf numFmtId="0" fontId="51" fillId="33" borderId="20" xfId="0" applyFont="1" applyFill="1" applyBorder="1" applyAlignment="1" applyProtection="1">
      <alignment horizontal="right" vertical="center" indent="1"/>
      <protection hidden="1"/>
    </xf>
    <xf numFmtId="0" fontId="51" fillId="33" borderId="9" xfId="0" applyFont="1" applyFill="1" applyBorder="1" applyAlignment="1" applyProtection="1">
      <alignment horizontal="right" vertical="center" indent="1"/>
      <protection hidden="1"/>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79"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81"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51" fillId="21" borderId="107" xfId="0" applyFont="1" applyFill="1" applyBorder="1" applyAlignment="1" applyProtection="1">
      <alignment horizontal="right" vertical="center"/>
      <protection hidden="1"/>
    </xf>
    <xf numFmtId="0" fontId="51" fillId="21" borderId="106" xfId="0" applyFont="1" applyFill="1" applyBorder="1" applyAlignment="1" applyProtection="1">
      <alignment horizontal="right" vertical="center"/>
      <protection hidden="1"/>
    </xf>
    <xf numFmtId="0" fontId="61" fillId="0" borderId="0" xfId="9" applyFont="1" applyAlignment="1" applyProtection="1">
      <alignment horizontal="left" wrapText="1" indent="1"/>
      <protection hidden="1"/>
    </xf>
    <xf numFmtId="0" fontId="16" fillId="28" borderId="0" xfId="8" applyFill="1" applyAlignment="1" applyProtection="1">
      <alignment horizontal="center"/>
      <protection hidden="1"/>
    </xf>
    <xf numFmtId="0" fontId="53" fillId="22" borderId="83" xfId="8" applyFont="1" applyFill="1" applyBorder="1" applyAlignment="1" applyProtection="1">
      <alignment horizontal="center" vertical="center"/>
      <protection locked="0" hidden="1"/>
    </xf>
    <xf numFmtId="0" fontId="18" fillId="0" borderId="0" xfId="0" applyFont="1" applyAlignment="1" applyProtection="1">
      <alignment horizontal="left" vertical="top" textRotation="180"/>
      <protection hidden="1"/>
    </xf>
    <xf numFmtId="0" fontId="0" fillId="22" borderId="100" xfId="0" applyFill="1" applyBorder="1" applyAlignment="1" applyProtection="1">
      <alignment horizontal="center"/>
      <protection locked="0" hidden="1"/>
    </xf>
    <xf numFmtId="165" fontId="83" fillId="28" borderId="0" xfId="0" applyNumberFormat="1" applyFont="1" applyFill="1" applyAlignment="1" applyProtection="1">
      <alignment horizontal="center" textRotation="90"/>
      <protection locked="0" hidden="1"/>
    </xf>
    <xf numFmtId="0" fontId="0" fillId="22" borderId="100" xfId="0" applyFill="1" applyBorder="1" applyAlignment="1" applyProtection="1">
      <alignment horizontal="center"/>
      <protection hidden="1"/>
    </xf>
    <xf numFmtId="0" fontId="18" fillId="0" borderId="0" xfId="0" applyFont="1" applyAlignment="1" applyProtection="1">
      <alignment horizontal="left"/>
      <protection hidden="1"/>
    </xf>
    <xf numFmtId="165" fontId="85" fillId="28" borderId="0" xfId="0" applyNumberFormat="1" applyFont="1" applyFill="1" applyAlignment="1" applyProtection="1">
      <alignment horizontal="center"/>
      <protection locked="0" hidden="1"/>
    </xf>
    <xf numFmtId="0" fontId="18" fillId="28" borderId="0" xfId="0" applyFont="1" applyFill="1" applyAlignment="1" applyProtection="1">
      <alignment horizontal="center"/>
      <protection hidden="1"/>
    </xf>
    <xf numFmtId="0" fontId="11" fillId="36" borderId="124" xfId="0" applyFont="1" applyFill="1" applyBorder="1" applyAlignment="1" applyProtection="1">
      <alignment horizontal="center" vertical="center"/>
      <protection hidden="1"/>
    </xf>
    <xf numFmtId="165" fontId="28" fillId="34" borderId="78" xfId="0" applyNumberFormat="1" applyFont="1" applyFill="1" applyBorder="1" applyAlignment="1" applyProtection="1">
      <alignment horizontal="center" vertical="center"/>
      <protection locked="0" hidden="1"/>
    </xf>
    <xf numFmtId="0" fontId="91" fillId="0" borderId="124" xfId="0" applyFont="1" applyBorder="1" applyAlignment="1" applyProtection="1">
      <alignment horizontal="center"/>
      <protection hidden="1"/>
    </xf>
    <xf numFmtId="0" fontId="14" fillId="21" borderId="59" xfId="0" applyFont="1" applyFill="1" applyBorder="1" applyAlignment="1" applyProtection="1">
      <alignment horizontal="left" indent="1"/>
      <protection hidden="1"/>
    </xf>
    <xf numFmtId="0" fontId="14" fillId="21" borderId="59" xfId="0" applyFont="1" applyFill="1" applyBorder="1" applyAlignment="1" applyProtection="1">
      <alignment horizontal="left" vertical="center"/>
      <protection hidden="1"/>
    </xf>
    <xf numFmtId="0" fontId="0" fillId="22" borderId="59" xfId="0" applyFill="1" applyBorder="1" applyAlignment="1" applyProtection="1">
      <alignment horizontal="center"/>
      <protection locked="0" hidden="1"/>
    </xf>
    <xf numFmtId="0" fontId="18" fillId="22" borderId="100" xfId="0" applyFont="1" applyFill="1" applyBorder="1" applyAlignment="1" applyProtection="1">
      <alignment horizontal="center"/>
      <protection locked="0" hidden="1"/>
    </xf>
    <xf numFmtId="0" fontId="14" fillId="22" borderId="0" xfId="0" applyFont="1" applyFill="1" applyAlignment="1" applyProtection="1">
      <alignment horizontal="center" vertical="center" textRotation="90"/>
      <protection hidden="1"/>
    </xf>
    <xf numFmtId="0" fontId="18" fillId="28" borderId="124" xfId="0" applyFont="1" applyFill="1" applyBorder="1" applyAlignment="1" applyProtection="1">
      <alignment horizontal="center"/>
      <protection hidden="1"/>
    </xf>
    <xf numFmtId="0" fontId="0" fillId="0" borderId="124" xfId="0" applyBorder="1" applyAlignment="1" applyProtection="1">
      <alignment horizontal="center"/>
      <protection hidden="1"/>
    </xf>
    <xf numFmtId="165" fontId="83" fillId="28" borderId="0" xfId="0" applyNumberFormat="1" applyFont="1" applyFill="1" applyAlignment="1" applyProtection="1">
      <alignment horizontal="center"/>
      <protection locked="0" hidden="1"/>
    </xf>
    <xf numFmtId="0" fontId="18" fillId="0" borderId="0" xfId="0" applyFont="1" applyAlignment="1" applyProtection="1">
      <alignment horizontal="right" textRotation="90"/>
      <protection hidden="1"/>
    </xf>
    <xf numFmtId="0" fontId="0" fillId="36" borderId="124" xfId="0" applyFill="1" applyBorder="1" applyAlignment="1" applyProtection="1">
      <alignment horizontal="center"/>
      <protection hidden="1"/>
    </xf>
    <xf numFmtId="0" fontId="0" fillId="34" borderId="124" xfId="0" applyFill="1" applyBorder="1" applyAlignment="1" applyProtection="1">
      <alignment horizontal="center"/>
      <protection locked="0" hidden="1"/>
    </xf>
    <xf numFmtId="165" fontId="83" fillId="28" borderId="0" xfId="0" applyNumberFormat="1" applyFont="1" applyFill="1" applyAlignment="1" applyProtection="1">
      <alignment horizontal="center" vertical="top" textRotation="180"/>
      <protection locked="0" hidden="1"/>
    </xf>
    <xf numFmtId="0" fontId="45" fillId="28" borderId="77" xfId="0" applyFont="1" applyFill="1" applyBorder="1" applyAlignment="1" applyProtection="1">
      <alignment horizontal="center" vertical="center" wrapText="1"/>
      <protection hidden="1"/>
    </xf>
    <xf numFmtId="0" fontId="45" fillId="28" borderId="78" xfId="0" applyFont="1" applyFill="1" applyBorder="1" applyAlignment="1" applyProtection="1">
      <alignment horizontal="center" vertical="center" wrapText="1"/>
      <protection hidden="1"/>
    </xf>
    <xf numFmtId="0" fontId="45" fillId="28" borderId="79" xfId="0" applyFont="1" applyFill="1" applyBorder="1" applyAlignment="1" applyProtection="1">
      <alignment horizontal="center" vertical="center" wrapText="1"/>
      <protection hidden="1"/>
    </xf>
    <xf numFmtId="0" fontId="45" fillId="28" borderId="80" xfId="0" applyFont="1" applyFill="1" applyBorder="1" applyAlignment="1" applyProtection="1">
      <alignment horizontal="center" vertical="center" wrapText="1"/>
      <protection hidden="1"/>
    </xf>
    <xf numFmtId="0" fontId="45" fillId="28" borderId="0" xfId="0" applyFont="1" applyFill="1" applyAlignment="1" applyProtection="1">
      <alignment horizontal="center" vertical="center" wrapText="1"/>
      <protection hidden="1"/>
    </xf>
    <xf numFmtId="0" fontId="45" fillId="28" borderId="72" xfId="0" applyFont="1" applyFill="1" applyBorder="1" applyAlignment="1" applyProtection="1">
      <alignment horizontal="center" vertical="center" wrapText="1"/>
      <protection hidden="1"/>
    </xf>
    <xf numFmtId="0" fontId="45" fillId="28" borderId="81" xfId="0" applyFont="1" applyFill="1" applyBorder="1" applyAlignment="1" applyProtection="1">
      <alignment horizontal="center" vertical="center" wrapText="1"/>
      <protection hidden="1"/>
    </xf>
    <xf numFmtId="0" fontId="45" fillId="28" borderId="59" xfId="0" applyFont="1" applyFill="1" applyBorder="1" applyAlignment="1" applyProtection="1">
      <alignment horizontal="center" vertical="center" wrapText="1"/>
      <protection hidden="1"/>
    </xf>
    <xf numFmtId="0" fontId="45" fillId="28" borderId="82" xfId="0" applyFont="1" applyFill="1" applyBorder="1" applyAlignment="1" applyProtection="1">
      <alignment horizontal="center" vertical="center" wrapText="1"/>
      <protection hidden="1"/>
    </xf>
    <xf numFmtId="0" fontId="0" fillId="22" borderId="100" xfId="0" applyFill="1" applyBorder="1" applyAlignment="1" applyProtection="1">
      <alignment horizontal="center" vertical="center"/>
      <protection locked="0" hidden="1"/>
    </xf>
    <xf numFmtId="0" fontId="0" fillId="22" borderId="59" xfId="0" applyFill="1" applyBorder="1" applyAlignment="1" applyProtection="1">
      <alignment horizontal="right"/>
      <protection hidden="1"/>
    </xf>
    <xf numFmtId="0" fontId="14" fillId="22" borderId="0" xfId="0" applyFont="1" applyFill="1" applyAlignment="1" applyProtection="1">
      <alignment horizontal="center" vertical="center"/>
      <protection hidden="1"/>
    </xf>
    <xf numFmtId="0" fontId="68" fillId="21" borderId="99" xfId="0" applyFont="1" applyFill="1" applyBorder="1" applyAlignment="1" applyProtection="1">
      <alignment horizontal="right" vertical="center" indent="3"/>
      <protection hidden="1"/>
    </xf>
    <xf numFmtId="0" fontId="49" fillId="22" borderId="99" xfId="0" applyFont="1" applyFill="1" applyBorder="1" applyAlignment="1" applyProtection="1">
      <alignment horizontal="center" vertical="center"/>
      <protection hidden="1"/>
    </xf>
    <xf numFmtId="0" fontId="50" fillId="0" borderId="0" xfId="0" applyFont="1" applyAlignment="1" applyProtection="1">
      <alignment horizontal="left"/>
      <protection hidden="1"/>
    </xf>
    <xf numFmtId="0" fontId="90" fillId="21" borderId="110" xfId="1" applyFont="1" applyFill="1" applyBorder="1" applyAlignment="1" applyProtection="1">
      <alignment horizontal="center" vertical="center"/>
      <protection locked="0" hidden="1"/>
    </xf>
    <xf numFmtId="0" fontId="90" fillId="21" borderId="0" xfId="1" applyFont="1" applyFill="1" applyBorder="1" applyAlignment="1" applyProtection="1">
      <alignment horizontal="center" vertical="center"/>
      <protection locked="0" hidden="1"/>
    </xf>
    <xf numFmtId="0" fontId="18" fillId="0" borderId="78" xfId="0" applyFont="1" applyBorder="1" applyAlignment="1" applyProtection="1">
      <alignment horizontal="center"/>
      <protection hidden="1"/>
    </xf>
    <xf numFmtId="0" fontId="45" fillId="9" borderId="77" xfId="0" applyFont="1" applyFill="1" applyBorder="1" applyAlignment="1" applyProtection="1">
      <alignment horizontal="center" vertical="center" wrapText="1"/>
      <protection locked="0" hidden="1"/>
    </xf>
    <xf numFmtId="0" fontId="45" fillId="9" borderId="78" xfId="0" applyFont="1" applyFill="1" applyBorder="1" applyAlignment="1" applyProtection="1">
      <alignment horizontal="center" vertical="center" wrapText="1"/>
      <protection locked="0" hidden="1"/>
    </xf>
    <xf numFmtId="0" fontId="45" fillId="9" borderId="79" xfId="0" applyFont="1" applyFill="1" applyBorder="1" applyAlignment="1" applyProtection="1">
      <alignment horizontal="center" vertical="center" wrapText="1"/>
      <protection locked="0" hidden="1"/>
    </xf>
    <xf numFmtId="0" fontId="45" fillId="9" borderId="80" xfId="0" applyFont="1" applyFill="1" applyBorder="1" applyAlignment="1" applyProtection="1">
      <alignment horizontal="center" vertical="center" wrapText="1"/>
      <protection locked="0" hidden="1"/>
    </xf>
    <xf numFmtId="0" fontId="45" fillId="9" borderId="0" xfId="0" applyFont="1" applyFill="1" applyAlignment="1" applyProtection="1">
      <alignment horizontal="center" vertical="center" wrapText="1"/>
      <protection locked="0" hidden="1"/>
    </xf>
    <xf numFmtId="0" fontId="45" fillId="9" borderId="72" xfId="0" applyFont="1" applyFill="1" applyBorder="1" applyAlignment="1" applyProtection="1">
      <alignment horizontal="center" vertical="center" wrapText="1"/>
      <protection locked="0" hidden="1"/>
    </xf>
    <xf numFmtId="0" fontId="45" fillId="9" borderId="81" xfId="0" applyFont="1" applyFill="1" applyBorder="1" applyAlignment="1" applyProtection="1">
      <alignment horizontal="center" vertical="center" wrapText="1"/>
      <protection locked="0" hidden="1"/>
    </xf>
    <xf numFmtId="0" fontId="45" fillId="9" borderId="59" xfId="0" applyFont="1" applyFill="1" applyBorder="1" applyAlignment="1" applyProtection="1">
      <alignment horizontal="center" vertical="center" wrapText="1"/>
      <protection locked="0" hidden="1"/>
    </xf>
    <xf numFmtId="0" fontId="45" fillId="9" borderId="82" xfId="0" applyFont="1" applyFill="1" applyBorder="1" applyAlignment="1" applyProtection="1">
      <alignment horizontal="center" vertical="center" wrapText="1"/>
      <protection locked="0" hidden="1"/>
    </xf>
    <xf numFmtId="0" fontId="0" fillId="22" borderId="124" xfId="0" applyFill="1" applyBorder="1" applyAlignment="1" applyProtection="1">
      <alignment horizontal="center"/>
      <protection locked="0" hidden="1"/>
    </xf>
    <xf numFmtId="169" fontId="27" fillId="0" borderId="124" xfId="0" applyNumberFormat="1" applyFont="1" applyBorder="1" applyAlignment="1" applyProtection="1">
      <alignment horizontal="center" vertical="center"/>
      <protection hidden="1"/>
    </xf>
    <xf numFmtId="0" fontId="28" fillId="0" borderId="0" xfId="0" applyFont="1" applyAlignment="1" applyProtection="1">
      <alignment horizontal="right"/>
      <protection hidden="1"/>
    </xf>
    <xf numFmtId="0" fontId="0" fillId="22" borderId="125" xfId="0" applyFill="1" applyBorder="1" applyAlignment="1" applyProtection="1">
      <alignment horizontal="center"/>
      <protection locked="0" hidden="1"/>
    </xf>
    <xf numFmtId="0" fontId="0" fillId="22" borderId="126" xfId="0" applyFill="1" applyBorder="1" applyAlignment="1" applyProtection="1">
      <alignment horizontal="center"/>
      <protection locked="0" hidden="1"/>
    </xf>
    <xf numFmtId="0" fontId="14" fillId="21" borderId="59" xfId="0" applyFont="1" applyFill="1" applyBorder="1" applyAlignment="1" applyProtection="1">
      <alignment horizontal="left" vertical="center" indent="1"/>
      <protection hidden="1"/>
    </xf>
    <xf numFmtId="0" fontId="0" fillId="22" borderId="59" xfId="0" applyFill="1" applyBorder="1" applyAlignment="1" applyProtection="1">
      <alignment horizontal="center" vertical="center"/>
      <protection hidden="1"/>
    </xf>
    <xf numFmtId="0" fontId="0" fillId="22" borderId="127" xfId="0" applyFill="1" applyBorder="1" applyAlignment="1" applyProtection="1">
      <alignment horizontal="left" indent="1"/>
      <protection hidden="1"/>
    </xf>
    <xf numFmtId="0" fontId="0" fillId="22" borderId="128" xfId="0" applyFill="1" applyBorder="1" applyAlignment="1" applyProtection="1">
      <alignment horizontal="left" indent="1"/>
      <protection hidden="1"/>
    </xf>
    <xf numFmtId="0" fontId="0" fillId="22" borderId="129" xfId="0" applyFill="1" applyBorder="1" applyAlignment="1" applyProtection="1">
      <alignment horizontal="left" indent="1"/>
      <protection hidden="1"/>
    </xf>
    <xf numFmtId="0" fontId="0" fillId="22" borderId="101" xfId="0" applyFill="1" applyBorder="1" applyAlignment="1" applyProtection="1">
      <alignment horizontal="center"/>
      <protection locked="0" hidden="1"/>
    </xf>
    <xf numFmtId="0" fontId="0" fillId="22" borderId="102" xfId="0" applyFill="1" applyBorder="1" applyAlignment="1" applyProtection="1">
      <alignment horizontal="center"/>
      <protection locked="0" hidden="1"/>
    </xf>
    <xf numFmtId="165" fontId="0" fillId="27" borderId="59" xfId="0" applyNumberFormat="1" applyFill="1" applyBorder="1" applyAlignment="1" applyProtection="1">
      <alignment horizontal="center" vertical="center"/>
      <protection hidden="1"/>
    </xf>
    <xf numFmtId="0" fontId="14" fillId="21" borderId="59" xfId="0" applyFont="1" applyFill="1" applyBorder="1" applyAlignment="1" applyProtection="1">
      <alignment horizontal="center" vertical="center"/>
      <protection hidden="1"/>
    </xf>
    <xf numFmtId="0" fontId="28" fillId="28" borderId="0" xfId="0" applyFont="1" applyFill="1" applyAlignment="1" applyProtection="1">
      <alignment horizontal="center" vertical="center"/>
      <protection hidden="1"/>
    </xf>
    <xf numFmtId="0" fontId="28" fillId="28" borderId="0" xfId="0" applyFont="1" applyFill="1" applyAlignment="1" applyProtection="1">
      <alignment horizontal="left" vertical="center" indent="4"/>
      <protection hidden="1"/>
    </xf>
    <xf numFmtId="0" fontId="14" fillId="21" borderId="100" xfId="0" applyFont="1" applyFill="1" applyBorder="1" applyAlignment="1" applyProtection="1">
      <alignment horizontal="left" vertical="center" indent="1"/>
      <protection hidden="1"/>
    </xf>
    <xf numFmtId="0" fontId="92" fillId="0" borderId="0" xfId="9" applyFont="1" applyAlignment="1" applyProtection="1">
      <alignment horizontal="left" wrapText="1" indent="1"/>
      <protection hidden="1"/>
    </xf>
    <xf numFmtId="0" fontId="28" fillId="28" borderId="0" xfId="0" applyFont="1" applyFill="1" applyAlignment="1" applyProtection="1">
      <alignment horizontal="left" vertical="center"/>
      <protection hidden="1"/>
    </xf>
    <xf numFmtId="0" fontId="93" fillId="21" borderId="0" xfId="8" applyFont="1" applyFill="1" applyAlignment="1" applyProtection="1">
      <alignment horizontal="left" vertical="center"/>
      <protection hidden="1"/>
    </xf>
    <xf numFmtId="0" fontId="0" fillId="0" borderId="0" xfId="0" applyAlignment="1">
      <alignment horizontal="center"/>
    </xf>
    <xf numFmtId="0" fontId="64" fillId="21" borderId="59" xfId="0" applyFont="1" applyFill="1" applyBorder="1" applyAlignment="1" applyProtection="1">
      <alignment horizontal="right" vertical="center" indent="2"/>
      <protection hidden="1"/>
    </xf>
    <xf numFmtId="0" fontId="68" fillId="22" borderId="0" xfId="0" applyFont="1" applyFill="1" applyAlignment="1" applyProtection="1">
      <alignment horizontal="center" vertical="center"/>
      <protection hidden="1"/>
    </xf>
    <xf numFmtId="0" fontId="18" fillId="21" borderId="61" xfId="0" applyFont="1" applyFill="1" applyBorder="1" applyAlignment="1" applyProtection="1">
      <alignment horizontal="left" indent="1"/>
      <protection hidden="1"/>
    </xf>
    <xf numFmtId="9" fontId="49" fillId="27" borderId="78" xfId="0" applyNumberFormat="1" applyFont="1" applyFill="1" applyBorder="1" applyAlignment="1" applyProtection="1">
      <alignment horizontal="center" vertical="center"/>
      <protection hidden="1"/>
    </xf>
    <xf numFmtId="0" fontId="49" fillId="27" borderId="78" xfId="0" applyFont="1" applyFill="1" applyBorder="1" applyAlignment="1" applyProtection="1">
      <alignment horizontal="center" vertical="center"/>
      <protection hidden="1"/>
    </xf>
    <xf numFmtId="0" fontId="49" fillId="27" borderId="59" xfId="0" applyFont="1" applyFill="1" applyBorder="1" applyAlignment="1" applyProtection="1">
      <alignment horizontal="center" vertical="center"/>
      <protection hidden="1"/>
    </xf>
    <xf numFmtId="0" fontId="50" fillId="22" borderId="59" xfId="0" applyFont="1" applyFill="1" applyBorder="1" applyAlignment="1" applyProtection="1">
      <alignment horizontal="center"/>
      <protection hidden="1"/>
    </xf>
    <xf numFmtId="0" fontId="94" fillId="22" borderId="0" xfId="1" applyFont="1" applyFill="1" applyAlignment="1" applyProtection="1">
      <alignment horizontal="center"/>
      <protection locked="0" hidden="1"/>
    </xf>
    <xf numFmtId="0" fontId="18" fillId="21" borderId="59" xfId="0" applyFont="1" applyFill="1" applyBorder="1" applyAlignment="1" applyProtection="1">
      <alignment horizontal="left" inden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33" fillId="0" borderId="0" xfId="10" applyFont="1" applyAlignment="1" applyProtection="1">
      <alignment horizontal="right" vertical="center"/>
      <protection hidden="1"/>
    </xf>
    <xf numFmtId="0" fontId="0" fillId="0" borderId="0" xfId="0" applyAlignment="1" applyProtection="1">
      <alignment horizontal="right" vertical="center"/>
      <protection hidden="1"/>
    </xf>
    <xf numFmtId="0" fontId="0" fillId="0" borderId="0" xfId="0" applyAlignment="1" applyProtection="1">
      <alignment horizontal="center" vertical="center"/>
      <protection hidden="1"/>
    </xf>
    <xf numFmtId="0" fontId="51" fillId="22" borderId="0" xfId="10" applyFont="1" applyFill="1" applyAlignment="1" applyProtection="1">
      <alignment horizontal="center" vertical="center"/>
      <protection hidden="1"/>
    </xf>
    <xf numFmtId="0" fontId="50" fillId="0" borderId="0" xfId="0" applyFont="1" applyAlignment="1" applyProtection="1">
      <alignment horizontal="center" vertical="center"/>
      <protection hidden="1"/>
    </xf>
    <xf numFmtId="0" fontId="84" fillId="21" borderId="110" xfId="1" applyFont="1" applyFill="1" applyBorder="1" applyAlignment="1" applyProtection="1">
      <alignment horizontal="center" vertical="center"/>
      <protection locked="0" hidden="1"/>
    </xf>
    <xf numFmtId="0" fontId="50" fillId="0" borderId="0" xfId="0" applyFont="1" applyAlignment="1" applyProtection="1">
      <alignment horizontal="center"/>
      <protection hidden="1"/>
    </xf>
    <xf numFmtId="0" fontId="95" fillId="22" borderId="0" xfId="0" applyFont="1" applyFill="1" applyAlignment="1" applyProtection="1">
      <alignment horizontal="left" vertical="center"/>
      <protection hidden="1"/>
    </xf>
    <xf numFmtId="0" fontId="32" fillId="0" borderId="0" xfId="0" applyFont="1" applyAlignment="1" applyProtection="1">
      <alignment horizontal="center" vertical="center"/>
      <protection hidden="1"/>
    </xf>
    <xf numFmtId="0" fontId="95" fillId="27" borderId="0" xfId="0" applyFont="1" applyFill="1" applyAlignment="1" applyProtection="1">
      <alignment horizontal="left" vertical="center"/>
      <protection hidden="1"/>
    </xf>
    <xf numFmtId="0" fontId="74" fillId="21" borderId="0" xfId="8" applyFont="1" applyFill="1" applyAlignment="1" applyProtection="1">
      <alignment horizontal="center" vertical="center"/>
      <protection hidden="1"/>
    </xf>
    <xf numFmtId="0" fontId="95" fillId="22" borderId="0" xfId="0" applyFont="1" applyFill="1" applyAlignment="1" applyProtection="1">
      <alignment horizontal="left"/>
      <protection hidden="1"/>
    </xf>
    <xf numFmtId="165" fontId="28" fillId="28" borderId="12" xfId="0" applyNumberFormat="1" applyFont="1" applyFill="1" applyBorder="1" applyAlignment="1" applyProtection="1">
      <alignment horizontal="center" vertical="center"/>
      <protection locked="0" hidden="1"/>
    </xf>
    <xf numFmtId="165" fontId="28" fillId="28" borderId="84" xfId="0" applyNumberFormat="1" applyFont="1" applyFill="1" applyBorder="1" applyAlignment="1" applyProtection="1">
      <alignment horizontal="center" vertical="center"/>
      <protection locked="0" hidden="1"/>
    </xf>
    <xf numFmtId="0" fontId="0" fillId="28" borderId="61" xfId="0" applyFill="1" applyBorder="1" applyAlignment="1" applyProtection="1">
      <alignment horizontal="center"/>
      <protection hidden="1"/>
    </xf>
    <xf numFmtId="0" fontId="67" fillId="0" borderId="60" xfId="0" applyFont="1" applyBorder="1" applyAlignment="1" applyProtection="1">
      <alignment horizontal="center" vertical="center"/>
      <protection hidden="1"/>
    </xf>
    <xf numFmtId="0" fontId="67" fillId="0" borderId="12" xfId="0" applyFont="1" applyBorder="1" applyAlignment="1" applyProtection="1">
      <alignment horizontal="center" vertical="center"/>
      <protection hidden="1"/>
    </xf>
    <xf numFmtId="0" fontId="67" fillId="0" borderId="84" xfId="0" applyFont="1" applyBorder="1" applyAlignment="1" applyProtection="1">
      <alignment horizontal="center" vertical="center"/>
      <protection hidden="1"/>
    </xf>
    <xf numFmtId="0" fontId="30" fillId="31" borderId="61" xfId="0" applyFont="1" applyFill="1" applyBorder="1" applyAlignment="1" applyProtection="1">
      <alignment horizontal="center" vertical="center"/>
      <protection hidden="1"/>
    </xf>
    <xf numFmtId="0" fontId="11" fillId="31" borderId="61" xfId="0" applyFont="1" applyFill="1" applyBorder="1" applyAlignment="1" applyProtection="1">
      <alignment horizontal="left"/>
      <protection hidden="1"/>
    </xf>
    <xf numFmtId="0" fontId="97" fillId="0" borderId="0" xfId="0" applyFont="1" applyAlignment="1" applyProtection="1">
      <alignment horizontal="right" vertical="center"/>
      <protection hidden="1"/>
    </xf>
    <xf numFmtId="0" fontId="45" fillId="28" borderId="0" xfId="0" applyFont="1" applyFill="1" applyAlignment="1" applyProtection="1">
      <alignment horizontal="center"/>
      <protection hidden="1"/>
    </xf>
    <xf numFmtId="0" fontId="11" fillId="31" borderId="0" xfId="0" applyFont="1" applyFill="1" applyAlignment="1" applyProtection="1">
      <alignment horizontal="left"/>
      <protection hidden="1"/>
    </xf>
    <xf numFmtId="49" fontId="17" fillId="0" borderId="77" xfId="0" applyNumberFormat="1" applyFont="1" applyBorder="1" applyAlignment="1" applyProtection="1">
      <alignment horizontal="center" vertical="center" wrapText="1"/>
      <protection hidden="1"/>
    </xf>
    <xf numFmtId="49" fontId="17" fillId="0" borderId="78" xfId="0" applyNumberFormat="1" applyFont="1" applyBorder="1" applyAlignment="1" applyProtection="1">
      <alignment horizontal="center" vertical="center" wrapText="1"/>
      <protection hidden="1"/>
    </xf>
    <xf numFmtId="49" fontId="17" fillId="0" borderId="79" xfId="0" applyNumberFormat="1" applyFont="1" applyBorder="1" applyAlignment="1" applyProtection="1">
      <alignment horizontal="center" vertical="center" wrapText="1"/>
      <protection hidden="1"/>
    </xf>
    <xf numFmtId="49" fontId="17" fillId="0" borderId="80" xfId="0" applyNumberFormat="1" applyFont="1" applyBorder="1" applyAlignment="1" applyProtection="1">
      <alignment horizontal="center" vertical="center" wrapText="1"/>
      <protection hidden="1"/>
    </xf>
    <xf numFmtId="49" fontId="17" fillId="0" borderId="0" xfId="0" applyNumberFormat="1" applyFont="1" applyAlignment="1" applyProtection="1">
      <alignment horizontal="center" vertical="center" wrapText="1"/>
      <protection hidden="1"/>
    </xf>
    <xf numFmtId="49" fontId="17" fillId="0" borderId="72" xfId="0" applyNumberFormat="1" applyFont="1" applyBorder="1" applyAlignment="1" applyProtection="1">
      <alignment horizontal="center" vertical="center" wrapText="1"/>
      <protection hidden="1"/>
    </xf>
    <xf numFmtId="49" fontId="17" fillId="0" borderId="81" xfId="0" applyNumberFormat="1" applyFont="1" applyBorder="1" applyAlignment="1" applyProtection="1">
      <alignment horizontal="center" vertical="center" wrapText="1"/>
      <protection hidden="1"/>
    </xf>
    <xf numFmtId="49" fontId="17" fillId="0" borderId="59" xfId="0" applyNumberFormat="1" applyFont="1" applyBorder="1" applyAlignment="1" applyProtection="1">
      <alignment horizontal="center" vertical="center" wrapText="1"/>
      <protection hidden="1"/>
    </xf>
    <xf numFmtId="49" fontId="17" fillId="0" borderId="82" xfId="0" applyNumberFormat="1" applyFont="1" applyBorder="1" applyAlignment="1" applyProtection="1">
      <alignment horizontal="center" vertical="center" wrapText="1"/>
      <protection hidden="1"/>
    </xf>
    <xf numFmtId="0" fontId="11" fillId="31" borderId="60" xfId="0" applyFont="1" applyFill="1" applyBorder="1" applyAlignment="1" applyProtection="1">
      <alignment horizontal="center" vertical="center"/>
      <protection hidden="1"/>
    </xf>
    <xf numFmtId="0" fontId="11" fillId="31" borderId="12" xfId="0" applyFont="1" applyFill="1" applyBorder="1" applyAlignment="1" applyProtection="1">
      <alignment horizontal="center" vertical="center"/>
      <protection hidden="1"/>
    </xf>
    <xf numFmtId="0" fontId="0" fillId="0" borderId="61" xfId="0" applyBorder="1" applyAlignment="1">
      <alignment horizontal="right"/>
    </xf>
    <xf numFmtId="0" fontId="0" fillId="0" borderId="61" xfId="0" applyBorder="1" applyAlignment="1">
      <alignment horizontal="left"/>
    </xf>
    <xf numFmtId="0" fontId="67" fillId="0" borderId="0" xfId="0" applyFont="1" applyAlignment="1" applyProtection="1">
      <alignment horizontal="center" vertical="center"/>
      <protection hidden="1"/>
    </xf>
    <xf numFmtId="0" fontId="11" fillId="31" borderId="10" xfId="0" applyFont="1" applyFill="1" applyBorder="1" applyAlignment="1" applyProtection="1">
      <alignment horizontal="center" vertical="center" textRotation="90"/>
      <protection hidden="1"/>
    </xf>
    <xf numFmtId="0" fontId="11" fillId="31" borderId="18" xfId="0" applyFont="1" applyFill="1" applyBorder="1" applyAlignment="1" applyProtection="1">
      <alignment horizontal="center" vertical="center" textRotation="90"/>
      <protection hidden="1"/>
    </xf>
    <xf numFmtId="165" fontId="28" fillId="28" borderId="16" xfId="0" applyNumberFormat="1" applyFont="1" applyFill="1" applyBorder="1" applyAlignment="1" applyProtection="1">
      <alignment horizontal="center" vertical="center" textRotation="90"/>
      <protection locked="0" hidden="1"/>
    </xf>
    <xf numFmtId="165" fontId="28" fillId="28" borderId="10" xfId="0" applyNumberFormat="1" applyFont="1" applyFill="1" applyBorder="1" applyAlignment="1" applyProtection="1">
      <alignment horizontal="center" vertical="center" textRotation="90"/>
      <protection locked="0" hidden="1"/>
    </xf>
    <xf numFmtId="0" fontId="96" fillId="31" borderId="0" xfId="0" applyFont="1" applyFill="1" applyAlignment="1" applyProtection="1">
      <alignment horizontal="center" vertical="center" textRotation="180"/>
      <protection hidden="1"/>
    </xf>
    <xf numFmtId="0" fontId="0" fillId="28" borderId="59" xfId="0" applyFill="1" applyBorder="1" applyAlignment="1" applyProtection="1">
      <alignment horizontal="center"/>
      <protection hidden="1"/>
    </xf>
    <xf numFmtId="0" fontId="0" fillId="28" borderId="61" xfId="0" applyFill="1" applyBorder="1" applyAlignment="1" applyProtection="1">
      <alignment horizontal="center" vertical="center"/>
      <protection hidden="1"/>
    </xf>
    <xf numFmtId="0" fontId="0" fillId="0" borderId="61" xfId="0" applyBorder="1" applyAlignment="1" applyProtection="1">
      <alignment horizontal="center"/>
      <protection hidden="1"/>
    </xf>
    <xf numFmtId="0" fontId="98" fillId="0" borderId="27" xfId="1" applyFont="1" applyBorder="1" applyAlignment="1" applyProtection="1">
      <alignment horizontal="right" vertical="center"/>
      <protection hidden="1"/>
    </xf>
    <xf numFmtId="0" fontId="98" fillId="0" borderId="17" xfId="1" applyFont="1" applyBorder="1" applyAlignment="1" applyProtection="1">
      <alignment horizontal="right" vertical="center"/>
      <protection hidden="1"/>
    </xf>
    <xf numFmtId="0" fontId="26" fillId="0" borderId="17" xfId="0" applyFont="1" applyBorder="1" applyAlignment="1" applyProtection="1">
      <alignment horizontal="right" vertical="center"/>
      <protection hidden="1"/>
    </xf>
    <xf numFmtId="0" fontId="26" fillId="0" borderId="28" xfId="0" applyFont="1" applyBorder="1" applyAlignment="1" applyProtection="1">
      <alignment horizontal="right" vertical="center"/>
      <protection hidden="1"/>
    </xf>
    <xf numFmtId="0" fontId="39" fillId="0" borderId="1" xfId="10" applyFont="1" applyBorder="1" applyAlignment="1" applyProtection="1">
      <alignment horizontal="right"/>
      <protection hidden="1"/>
    </xf>
    <xf numFmtId="0" fontId="39" fillId="0" borderId="19" xfId="10" applyFont="1" applyBorder="1" applyAlignment="1" applyProtection="1">
      <alignment horizontal="right"/>
      <protection hidden="1"/>
    </xf>
    <xf numFmtId="0" fontId="39" fillId="0" borderId="2" xfId="10" applyFont="1" applyBorder="1" applyAlignment="1" applyProtection="1">
      <alignment horizontal="right"/>
      <protection hidden="1"/>
    </xf>
    <xf numFmtId="0" fontId="26" fillId="0" borderId="26" xfId="0" applyFont="1" applyBorder="1" applyAlignment="1" applyProtection="1">
      <alignment horizontal="left"/>
      <protection hidden="1"/>
    </xf>
    <xf numFmtId="0" fontId="26" fillId="0" borderId="0" xfId="0" applyFont="1" applyAlignment="1" applyProtection="1">
      <alignment horizontal="left"/>
      <protection hidden="1"/>
    </xf>
    <xf numFmtId="0" fontId="26" fillId="0" borderId="25" xfId="0" applyFont="1" applyBorder="1" applyAlignment="1" applyProtection="1">
      <alignment horizontal="left"/>
      <protection hidden="1"/>
    </xf>
    <xf numFmtId="0" fontId="0" fillId="11" borderId="1" xfId="0" applyFill="1" applyBorder="1" applyAlignment="1" applyProtection="1">
      <alignment horizontal="center" vertical="top"/>
      <protection hidden="1"/>
    </xf>
    <xf numFmtId="0" fontId="0" fillId="11" borderId="19" xfId="0" applyFill="1" applyBorder="1" applyAlignment="1" applyProtection="1">
      <alignment horizontal="center" vertical="top"/>
      <protection hidden="1"/>
    </xf>
    <xf numFmtId="0" fontId="0" fillId="11" borderId="27" xfId="0" applyFill="1" applyBorder="1" applyAlignment="1" applyProtection="1">
      <alignment horizontal="center" vertical="top"/>
      <protection hidden="1"/>
    </xf>
    <xf numFmtId="0" fontId="0" fillId="11" borderId="17" xfId="0" applyFill="1" applyBorder="1" applyAlignment="1" applyProtection="1">
      <alignment horizontal="center" vertical="top"/>
      <protection hidden="1"/>
    </xf>
    <xf numFmtId="0" fontId="0" fillId="0" borderId="19"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28" xfId="0" applyBorder="1" applyAlignment="1" applyProtection="1">
      <alignment horizontal="left" vertical="top"/>
      <protection locked="0"/>
    </xf>
    <xf numFmtId="0" fontId="41" fillId="10" borderId="22" xfId="0" applyFont="1" applyFill="1" applyBorder="1" applyAlignment="1" applyProtection="1">
      <alignment horizontal="center" vertical="center" wrapText="1"/>
      <protection hidden="1"/>
    </xf>
    <xf numFmtId="0" fontId="41" fillId="10" borderId="23" xfId="0" applyFont="1" applyFill="1" applyBorder="1" applyAlignment="1" applyProtection="1">
      <alignment horizontal="center" vertical="center" wrapText="1"/>
      <protection hidden="1"/>
    </xf>
    <xf numFmtId="0" fontId="0" fillId="0" borderId="0" xfId="0" applyProtection="1">
      <protection hidden="1"/>
    </xf>
    <xf numFmtId="0" fontId="0" fillId="0" borderId="25" xfId="0" applyBorder="1" applyProtection="1">
      <protection hidden="1"/>
    </xf>
    <xf numFmtId="0" fontId="0" fillId="12" borderId="31" xfId="0" applyFill="1" applyBorder="1" applyAlignment="1" applyProtection="1">
      <alignment horizontal="center"/>
      <protection hidden="1"/>
    </xf>
    <xf numFmtId="0" fontId="0" fillId="12" borderId="7" xfId="0" applyFill="1" applyBorder="1" applyAlignment="1" applyProtection="1">
      <alignment horizontal="center"/>
      <protection hidden="1"/>
    </xf>
    <xf numFmtId="0" fontId="3" fillId="12" borderId="32" xfId="0" applyFont="1" applyFill="1" applyBorder="1" applyAlignment="1" applyProtection="1">
      <alignment horizontal="center"/>
      <protection hidden="1"/>
    </xf>
    <xf numFmtId="0" fontId="100" fillId="0" borderId="0" xfId="0" applyFont="1" applyAlignment="1" applyProtection="1">
      <alignment horizontal="center"/>
      <protection hidden="1"/>
    </xf>
    <xf numFmtId="0" fontId="100" fillId="0" borderId="25" xfId="0" applyFont="1" applyBorder="1" applyAlignment="1" applyProtection="1">
      <alignment horizontal="center"/>
      <protection hidden="1"/>
    </xf>
    <xf numFmtId="0" fontId="24" fillId="9" borderId="19" xfId="0" applyFont="1" applyFill="1" applyBorder="1" applyAlignment="1" applyProtection="1">
      <alignment horizontal="left" vertical="center"/>
      <protection hidden="1"/>
    </xf>
    <xf numFmtId="0" fontId="24" fillId="9" borderId="2" xfId="0" applyFont="1" applyFill="1" applyBorder="1" applyAlignment="1" applyProtection="1">
      <alignment horizontal="left" vertical="center"/>
      <protection hidden="1"/>
    </xf>
    <xf numFmtId="0" fontId="30" fillId="12" borderId="87" xfId="0" applyFont="1" applyFill="1" applyBorder="1" applyAlignment="1" applyProtection="1">
      <alignment horizontal="center" vertical="center"/>
      <protection hidden="1"/>
    </xf>
    <xf numFmtId="0" fontId="30" fillId="12" borderId="55" xfId="0" applyFont="1" applyFill="1" applyBorder="1" applyAlignment="1" applyProtection="1">
      <alignment horizontal="center" vertical="center"/>
      <protection hidden="1"/>
    </xf>
    <xf numFmtId="0" fontId="30" fillId="12" borderId="27" xfId="0" applyFont="1" applyFill="1" applyBorder="1" applyAlignment="1" applyProtection="1">
      <alignment horizontal="center" vertical="center"/>
      <protection hidden="1"/>
    </xf>
    <xf numFmtId="0" fontId="30" fillId="12" borderId="17" xfId="0" applyFont="1" applyFill="1" applyBorder="1" applyAlignment="1" applyProtection="1">
      <alignment horizontal="center" vertical="center"/>
      <protection hidden="1"/>
    </xf>
    <xf numFmtId="44" fontId="30" fillId="9" borderId="88" xfId="3" applyFont="1" applyFill="1" applyBorder="1" applyAlignment="1" applyProtection="1">
      <alignment horizontal="center" vertical="center"/>
      <protection hidden="1"/>
    </xf>
    <xf numFmtId="44" fontId="30" fillId="9" borderId="28" xfId="3" applyFont="1" applyFill="1" applyBorder="1" applyAlignment="1" applyProtection="1">
      <alignment horizontal="center" vertical="center"/>
      <protection hidden="1"/>
    </xf>
    <xf numFmtId="0" fontId="27" fillId="0" borderId="19" xfId="0" applyFont="1" applyBorder="1" applyAlignment="1" applyProtection="1">
      <alignment horizontal="left" vertical="center"/>
      <protection hidden="1"/>
    </xf>
    <xf numFmtId="0" fontId="27" fillId="0" borderId="2" xfId="0" applyFont="1" applyBorder="1" applyAlignment="1" applyProtection="1">
      <alignment horizontal="left" vertical="center"/>
      <protection hidden="1"/>
    </xf>
    <xf numFmtId="0" fontId="27" fillId="0" borderId="17" xfId="0" applyFont="1" applyBorder="1" applyAlignment="1" applyProtection="1">
      <alignment horizontal="left" vertical="center"/>
      <protection hidden="1"/>
    </xf>
    <xf numFmtId="0" fontId="27" fillId="0" borderId="28" xfId="0" applyFont="1" applyBorder="1" applyAlignment="1" applyProtection="1">
      <alignment horizontal="left" vertical="center"/>
      <protection hidden="1"/>
    </xf>
    <xf numFmtId="0" fontId="26" fillId="12" borderId="22" xfId="0" applyFont="1" applyFill="1" applyBorder="1" applyAlignment="1" applyProtection="1">
      <alignment horizontal="center" vertical="center" wrapText="1"/>
      <protection hidden="1"/>
    </xf>
    <xf numFmtId="0" fontId="26" fillId="12" borderId="23" xfId="0" applyFont="1" applyFill="1" applyBorder="1" applyAlignment="1" applyProtection="1">
      <alignment horizontal="center" vertical="center" wrapText="1"/>
      <protection hidden="1"/>
    </xf>
    <xf numFmtId="165" fontId="26" fillId="11" borderId="23" xfId="0" applyNumberFormat="1" applyFont="1" applyFill="1" applyBorder="1" applyAlignment="1" applyProtection="1">
      <alignment horizontal="center" vertical="center"/>
      <protection locked="0" hidden="1"/>
    </xf>
    <xf numFmtId="165" fontId="26" fillId="11" borderId="24" xfId="0" applyNumberFormat="1" applyFont="1" applyFill="1" applyBorder="1" applyAlignment="1" applyProtection="1">
      <alignment horizontal="center" vertical="center"/>
      <protection locked="0" hidden="1"/>
    </xf>
    <xf numFmtId="0" fontId="49" fillId="12" borderId="1" xfId="0" applyFont="1" applyFill="1" applyBorder="1" applyAlignment="1" applyProtection="1">
      <alignment horizontal="center" vertical="center"/>
      <protection hidden="1"/>
    </xf>
    <xf numFmtId="0" fontId="49" fillId="12" borderId="19" xfId="0" applyFont="1" applyFill="1" applyBorder="1" applyAlignment="1" applyProtection="1">
      <alignment horizontal="center" vertical="center"/>
      <protection hidden="1"/>
    </xf>
    <xf numFmtId="0" fontId="49" fillId="12" borderId="85" xfId="0" applyFont="1" applyFill="1" applyBorder="1" applyAlignment="1" applyProtection="1">
      <alignment horizontal="center" vertical="center"/>
      <protection hidden="1"/>
    </xf>
    <xf numFmtId="0" fontId="49" fillId="12" borderId="54" xfId="0" applyFont="1" applyFill="1" applyBorder="1" applyAlignment="1" applyProtection="1">
      <alignment horizontal="center" vertical="center"/>
      <protection hidden="1"/>
    </xf>
    <xf numFmtId="0" fontId="32" fillId="11" borderId="1" xfId="0" applyFont="1" applyFill="1" applyBorder="1" applyAlignment="1" applyProtection="1">
      <alignment horizontal="center" vertical="top"/>
      <protection hidden="1"/>
    </xf>
    <xf numFmtId="0" fontId="32" fillId="11" borderId="19" xfId="0" applyFont="1" applyFill="1" applyBorder="1" applyAlignment="1" applyProtection="1">
      <alignment horizontal="center" vertical="top"/>
      <protection hidden="1"/>
    </xf>
    <xf numFmtId="0" fontId="32" fillId="11" borderId="26" xfId="0" applyFont="1" applyFill="1" applyBorder="1" applyAlignment="1" applyProtection="1">
      <alignment horizontal="center" vertical="top"/>
      <protection hidden="1"/>
    </xf>
    <xf numFmtId="0" fontId="32" fillId="11" borderId="0" xfId="0" applyFont="1" applyFill="1" applyAlignment="1" applyProtection="1">
      <alignment horizontal="center" vertical="top"/>
      <protection hidden="1"/>
    </xf>
    <xf numFmtId="0" fontId="32" fillId="11" borderId="27" xfId="0" applyFont="1" applyFill="1" applyBorder="1" applyAlignment="1" applyProtection="1">
      <alignment horizontal="center" vertical="top"/>
      <protection hidden="1"/>
    </xf>
    <xf numFmtId="0" fontId="32" fillId="11" borderId="17" xfId="0" applyFont="1" applyFill="1" applyBorder="1" applyAlignment="1" applyProtection="1">
      <alignment horizontal="center" vertical="top"/>
      <protection hidden="1"/>
    </xf>
    <xf numFmtId="0" fontId="25" fillId="6" borderId="10" xfId="0" applyFont="1" applyFill="1" applyBorder="1" applyAlignment="1" applyProtection="1">
      <alignment horizontal="center"/>
      <protection hidden="1"/>
    </xf>
    <xf numFmtId="165" fontId="27" fillId="37" borderId="22" xfId="0" applyNumberFormat="1" applyFont="1" applyFill="1" applyBorder="1" applyAlignment="1" applyProtection="1">
      <alignment horizontal="center" vertical="center"/>
      <protection locked="0" hidden="1"/>
    </xf>
    <xf numFmtId="165" fontId="27" fillId="37" borderId="23" xfId="0" applyNumberFormat="1" applyFont="1" applyFill="1" applyBorder="1" applyAlignment="1" applyProtection="1">
      <alignment horizontal="center" vertical="center"/>
      <protection locked="0" hidden="1"/>
    </xf>
    <xf numFmtId="165" fontId="27" fillId="37" borderId="24" xfId="0" applyNumberFormat="1" applyFont="1" applyFill="1" applyBorder="1" applyAlignment="1" applyProtection="1">
      <alignment horizontal="center" vertical="center"/>
      <protection locked="0" hidden="1"/>
    </xf>
    <xf numFmtId="164" fontId="39" fillId="6" borderId="10" xfId="0" applyNumberFormat="1" applyFont="1" applyFill="1" applyBorder="1" applyAlignment="1" applyProtection="1">
      <alignment horizontal="center" vertical="center" textRotation="90"/>
      <protection hidden="1"/>
    </xf>
    <xf numFmtId="165" fontId="27" fillId="37" borderId="70" xfId="0" applyNumberFormat="1" applyFont="1" applyFill="1" applyBorder="1" applyAlignment="1" applyProtection="1">
      <alignment horizontal="center" vertical="center" textRotation="90"/>
      <protection locked="0" hidden="1"/>
    </xf>
    <xf numFmtId="165" fontId="27" fillId="37" borderId="71" xfId="0" applyNumberFormat="1" applyFont="1" applyFill="1" applyBorder="1" applyAlignment="1" applyProtection="1">
      <alignment horizontal="center" vertical="center" textRotation="90"/>
      <protection locked="0" hidden="1"/>
    </xf>
    <xf numFmtId="164" fontId="39" fillId="6" borderId="20" xfId="0" applyNumberFormat="1" applyFont="1" applyFill="1" applyBorder="1" applyAlignment="1" applyProtection="1">
      <alignment horizontal="center"/>
      <protection hidden="1"/>
    </xf>
    <xf numFmtId="0" fontId="33" fillId="6" borderId="12" xfId="0" applyFont="1" applyFill="1" applyBorder="1" applyProtection="1">
      <protection hidden="1"/>
    </xf>
    <xf numFmtId="0" fontId="26" fillId="12" borderId="44" xfId="0" applyFont="1" applyFill="1" applyBorder="1" applyAlignment="1" applyProtection="1">
      <alignment horizontal="left" vertical="center"/>
      <protection hidden="1"/>
    </xf>
    <xf numFmtId="0" fontId="26" fillId="12" borderId="45" xfId="0" applyFont="1" applyFill="1" applyBorder="1" applyAlignment="1" applyProtection="1">
      <alignment horizontal="left" vertical="center"/>
      <protection hidden="1"/>
    </xf>
    <xf numFmtId="0" fontId="17" fillId="0" borderId="26" xfId="0" applyFont="1" applyBorder="1" applyAlignment="1" applyProtection="1">
      <alignment horizontal="center" vertical="center" textRotation="90" wrapText="1"/>
      <protection hidden="1"/>
    </xf>
    <xf numFmtId="0" fontId="17" fillId="0" borderId="26" xfId="0" applyFont="1" applyBorder="1" applyAlignment="1" applyProtection="1">
      <alignment horizontal="center" vertical="center" textRotation="90"/>
      <protection hidden="1"/>
    </xf>
    <xf numFmtId="0" fontId="49" fillId="0" borderId="19" xfId="0" applyFont="1" applyBorder="1" applyAlignment="1" applyProtection="1">
      <alignment horizontal="left" vertical="top" wrapText="1"/>
      <protection locked="0"/>
    </xf>
    <xf numFmtId="0" fontId="49" fillId="0" borderId="2" xfId="0" applyFont="1" applyBorder="1" applyAlignment="1" applyProtection="1">
      <alignment horizontal="left" vertical="top" wrapText="1"/>
      <protection locked="0"/>
    </xf>
    <xf numFmtId="0" fontId="49" fillId="0" borderId="0" xfId="0" applyFont="1" applyAlignment="1" applyProtection="1">
      <alignment horizontal="left" vertical="top" wrapText="1"/>
      <protection locked="0"/>
    </xf>
    <xf numFmtId="0" fontId="49" fillId="0" borderId="25" xfId="0" applyFont="1" applyBorder="1" applyAlignment="1" applyProtection="1">
      <alignment horizontal="left" vertical="top" wrapText="1"/>
      <protection locked="0"/>
    </xf>
    <xf numFmtId="0" fontId="49" fillId="0" borderId="17" xfId="0" applyFont="1" applyBorder="1" applyAlignment="1" applyProtection="1">
      <alignment horizontal="left" vertical="top" wrapText="1"/>
      <protection locked="0"/>
    </xf>
    <xf numFmtId="0" fontId="49" fillId="0" borderId="28" xfId="0" applyFont="1" applyBorder="1" applyAlignment="1" applyProtection="1">
      <alignment horizontal="left" vertical="top" wrapText="1"/>
      <protection locked="0"/>
    </xf>
    <xf numFmtId="164" fontId="39" fillId="6" borderId="13" xfId="0" applyNumberFormat="1" applyFont="1" applyFill="1" applyBorder="1" applyAlignment="1" applyProtection="1">
      <alignment horizontal="center"/>
      <protection hidden="1"/>
    </xf>
    <xf numFmtId="0" fontId="33" fillId="6" borderId="11" xfId="0" applyFont="1" applyFill="1" applyBorder="1" applyProtection="1">
      <protection hidden="1"/>
    </xf>
    <xf numFmtId="44" fontId="49" fillId="9" borderId="2" xfId="3" applyFont="1" applyFill="1" applyBorder="1" applyAlignment="1" applyProtection="1">
      <alignment horizontal="center" vertical="center"/>
      <protection hidden="1"/>
    </xf>
    <xf numFmtId="44" fontId="49" fillId="9" borderId="86" xfId="3" applyFont="1" applyFill="1" applyBorder="1" applyAlignment="1" applyProtection="1">
      <alignment horizontal="center" vertical="center"/>
      <protection hidden="1"/>
    </xf>
    <xf numFmtId="166" fontId="28" fillId="25" borderId="19" xfId="0" applyNumberFormat="1" applyFont="1" applyFill="1" applyBorder="1" applyAlignment="1" applyProtection="1">
      <alignment horizontal="left" vertical="center"/>
      <protection hidden="1"/>
    </xf>
    <xf numFmtId="166" fontId="28" fillId="25" borderId="2" xfId="0" applyNumberFormat="1" applyFont="1" applyFill="1" applyBorder="1" applyAlignment="1" applyProtection="1">
      <alignment horizontal="left" vertical="center"/>
      <protection hidden="1"/>
    </xf>
    <xf numFmtId="166" fontId="28" fillId="25" borderId="0" xfId="0" applyNumberFormat="1" applyFont="1" applyFill="1" applyAlignment="1" applyProtection="1">
      <alignment horizontal="left" vertical="center"/>
      <protection hidden="1"/>
    </xf>
    <xf numFmtId="166" fontId="28" fillId="25" borderId="25" xfId="0" applyNumberFormat="1" applyFont="1" applyFill="1" applyBorder="1" applyAlignment="1" applyProtection="1">
      <alignment horizontal="left" vertical="center"/>
      <protection hidden="1"/>
    </xf>
    <xf numFmtId="166" fontId="28" fillId="25" borderId="17" xfId="0" applyNumberFormat="1" applyFont="1" applyFill="1" applyBorder="1" applyAlignment="1" applyProtection="1">
      <alignment horizontal="left" vertical="center"/>
      <protection hidden="1"/>
    </xf>
    <xf numFmtId="166" fontId="28" fillId="25" borderId="28" xfId="0" applyNumberFormat="1" applyFont="1" applyFill="1" applyBorder="1" applyAlignment="1" applyProtection="1">
      <alignment horizontal="left" vertical="center"/>
      <protection hidden="1"/>
    </xf>
    <xf numFmtId="0" fontId="26" fillId="12" borderId="90" xfId="0" applyFont="1" applyFill="1" applyBorder="1" applyAlignment="1" applyProtection="1">
      <alignment horizontal="left" vertical="center"/>
      <protection hidden="1"/>
    </xf>
    <xf numFmtId="0" fontId="26" fillId="12" borderId="91" xfId="0" applyFont="1" applyFill="1" applyBorder="1" applyAlignment="1" applyProtection="1">
      <alignment horizontal="left" vertical="center"/>
      <protection hidden="1"/>
    </xf>
    <xf numFmtId="164" fontId="39" fillId="6" borderId="12" xfId="0" applyNumberFormat="1" applyFont="1" applyFill="1" applyBorder="1" applyAlignment="1" applyProtection="1">
      <alignment horizontal="center" vertical="center"/>
      <protection hidden="1"/>
    </xf>
    <xf numFmtId="164" fontId="39" fillId="6" borderId="21" xfId="0" applyNumberFormat="1" applyFont="1" applyFill="1" applyBorder="1" applyAlignment="1" applyProtection="1">
      <alignment horizontal="center" vertical="center"/>
      <protection hidden="1"/>
    </xf>
    <xf numFmtId="165" fontId="27" fillId="37" borderId="58" xfId="0" applyNumberFormat="1" applyFont="1" applyFill="1" applyBorder="1" applyAlignment="1" applyProtection="1">
      <alignment horizontal="center" vertical="center" textRotation="90"/>
      <protection locked="0" hidden="1"/>
    </xf>
    <xf numFmtId="165" fontId="26" fillId="11" borderId="70" xfId="0" applyNumberFormat="1" applyFont="1" applyFill="1" applyBorder="1" applyAlignment="1" applyProtection="1">
      <alignment horizontal="center" vertical="center" textRotation="90"/>
      <protection locked="0" hidden="1"/>
    </xf>
    <xf numFmtId="165" fontId="26" fillId="11" borderId="58" xfId="0" applyNumberFormat="1" applyFont="1" applyFill="1" applyBorder="1" applyAlignment="1" applyProtection="1">
      <alignment horizontal="center" vertical="center" textRotation="90"/>
      <protection locked="0" hidden="1"/>
    </xf>
    <xf numFmtId="0" fontId="101" fillId="25" borderId="1" xfId="0" applyFont="1" applyFill="1" applyBorder="1" applyAlignment="1" applyProtection="1">
      <alignment horizontal="center"/>
      <protection hidden="1"/>
    </xf>
    <xf numFmtId="0" fontId="101" fillId="25" borderId="26" xfId="0" applyFont="1" applyFill="1" applyBorder="1" applyAlignment="1" applyProtection="1">
      <alignment horizontal="center"/>
      <protection hidden="1"/>
    </xf>
    <xf numFmtId="0" fontId="101" fillId="25" borderId="27" xfId="0" applyFont="1" applyFill="1" applyBorder="1" applyAlignment="1" applyProtection="1">
      <alignment horizontal="center"/>
      <protection hidden="1"/>
    </xf>
    <xf numFmtId="0" fontId="99" fillId="38" borderId="0" xfId="0" applyFont="1" applyFill="1" applyAlignment="1" applyProtection="1">
      <alignment horizontal="center"/>
      <protection hidden="1"/>
    </xf>
    <xf numFmtId="0" fontId="14" fillId="13" borderId="0" xfId="0" applyFont="1" applyFill="1" applyAlignment="1" applyProtection="1">
      <alignment horizontal="center"/>
      <protection hidden="1"/>
    </xf>
    <xf numFmtId="165" fontId="27" fillId="37" borderId="70" xfId="0" applyNumberFormat="1" applyFont="1" applyFill="1" applyBorder="1" applyAlignment="1" applyProtection="1">
      <alignment horizontal="center" vertical="center"/>
      <protection locked="0" hidden="1"/>
    </xf>
    <xf numFmtId="165" fontId="27" fillId="37" borderId="71" xfId="0" applyNumberFormat="1" applyFont="1" applyFill="1" applyBorder="1" applyAlignment="1" applyProtection="1">
      <alignment horizontal="center" vertical="center"/>
      <protection locked="0" hidden="1"/>
    </xf>
    <xf numFmtId="164" fontId="39" fillId="6" borderId="9" xfId="0" applyNumberFormat="1" applyFont="1" applyFill="1" applyBorder="1" applyAlignment="1" applyProtection="1">
      <alignment horizontal="center"/>
      <protection hidden="1"/>
    </xf>
    <xf numFmtId="0" fontId="21" fillId="0" borderId="3" xfId="0" applyFont="1" applyBorder="1"/>
    <xf numFmtId="0" fontId="26" fillId="12" borderId="58" xfId="0" applyFont="1" applyFill="1" applyBorder="1" applyAlignment="1" applyProtection="1">
      <alignment horizontal="center" vertical="center" textRotation="90"/>
      <protection hidden="1"/>
    </xf>
    <xf numFmtId="0" fontId="26" fillId="12" borderId="71" xfId="0" applyFont="1" applyFill="1" applyBorder="1" applyAlignment="1" applyProtection="1">
      <alignment horizontal="center" vertical="center" textRotation="90"/>
      <protection hidden="1"/>
    </xf>
    <xf numFmtId="0" fontId="67" fillId="35" borderId="0" xfId="0" applyFont="1" applyFill="1" applyAlignment="1" applyProtection="1">
      <alignment horizontal="center"/>
      <protection hidden="1"/>
    </xf>
    <xf numFmtId="0" fontId="26" fillId="12" borderId="89" xfId="0" applyFont="1" applyFill="1" applyBorder="1" applyAlignment="1" applyProtection="1">
      <alignment horizontal="left" vertical="center"/>
      <protection hidden="1"/>
    </xf>
    <xf numFmtId="0" fontId="26" fillId="12" borderId="57" xfId="0" applyFont="1" applyFill="1" applyBorder="1" applyAlignment="1" applyProtection="1">
      <alignment horizontal="left" vertical="center"/>
      <protection hidden="1"/>
    </xf>
    <xf numFmtId="0" fontId="0" fillId="0" borderId="0" xfId="0" applyAlignment="1" applyProtection="1">
      <alignment horizontal="center"/>
      <protection locked="0" hidden="1"/>
    </xf>
    <xf numFmtId="0" fontId="39" fillId="0" borderId="22" xfId="10" applyFont="1" applyBorder="1" applyAlignment="1" applyProtection="1">
      <alignment horizontal="right"/>
      <protection hidden="1"/>
    </xf>
    <xf numFmtId="0" fontId="39" fillId="0" borderId="23" xfId="10" applyFont="1" applyBorder="1" applyAlignment="1" applyProtection="1">
      <alignment horizontal="right"/>
      <protection hidden="1"/>
    </xf>
    <xf numFmtId="0" fontId="39" fillId="0" borderId="24" xfId="10" applyFont="1" applyBorder="1" applyAlignment="1" applyProtection="1">
      <alignment horizontal="right"/>
      <protection hidden="1"/>
    </xf>
    <xf numFmtId="0" fontId="102" fillId="38" borderId="26" xfId="0" applyFont="1" applyFill="1" applyBorder="1" applyAlignment="1" applyProtection="1">
      <alignment horizontal="center" vertical="center"/>
      <protection hidden="1"/>
    </xf>
    <xf numFmtId="0" fontId="102" fillId="38" borderId="0" xfId="0" applyFont="1" applyFill="1" applyAlignment="1" applyProtection="1">
      <alignment horizontal="center" vertical="center"/>
      <protection hidden="1"/>
    </xf>
    <xf numFmtId="164" fontId="39" fillId="6" borderId="9" xfId="0" applyNumberFormat="1" applyFont="1" applyFill="1" applyBorder="1" applyAlignment="1" applyProtection="1">
      <alignment horizontal="center" vertical="center"/>
      <protection hidden="1"/>
    </xf>
    <xf numFmtId="0" fontId="97" fillId="38" borderId="0" xfId="0" applyFont="1" applyFill="1" applyAlignment="1" applyProtection="1">
      <alignment horizontal="center" vertical="center"/>
      <protection hidden="1"/>
    </xf>
    <xf numFmtId="0" fontId="97" fillId="38" borderId="25" xfId="0" applyFont="1" applyFill="1" applyBorder="1" applyAlignment="1" applyProtection="1">
      <alignment horizontal="center" vertical="center"/>
      <protection hidden="1"/>
    </xf>
    <xf numFmtId="0" fontId="97" fillId="38" borderId="17" xfId="0" applyFont="1" applyFill="1" applyBorder="1" applyAlignment="1" applyProtection="1">
      <alignment horizontal="center" vertical="center"/>
      <protection hidden="1"/>
    </xf>
    <xf numFmtId="0" fontId="97" fillId="38" borderId="28" xfId="0" applyFont="1" applyFill="1" applyBorder="1" applyAlignment="1" applyProtection="1">
      <alignment horizontal="center" vertical="center"/>
      <protection hidden="1"/>
    </xf>
    <xf numFmtId="164" fontId="39" fillId="6" borderId="11" xfId="0" applyNumberFormat="1" applyFont="1" applyFill="1" applyBorder="1" applyAlignment="1" applyProtection="1">
      <alignment horizontal="center" vertical="center"/>
      <protection hidden="1"/>
    </xf>
    <xf numFmtId="164" fontId="39" fillId="6" borderId="14" xfId="0" applyNumberFormat="1" applyFont="1" applyFill="1" applyBorder="1" applyAlignment="1" applyProtection="1">
      <alignment horizontal="center" vertical="center"/>
      <protection hidden="1"/>
    </xf>
    <xf numFmtId="0" fontId="0" fillId="0" borderId="26"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25" xfId="0" applyBorder="1" applyAlignment="1" applyProtection="1">
      <alignment horizontal="left" vertical="center"/>
      <protection hidden="1"/>
    </xf>
    <xf numFmtId="164" fontId="39" fillId="6" borderId="11" xfId="0" applyNumberFormat="1" applyFont="1" applyFill="1" applyBorder="1" applyAlignment="1" applyProtection="1">
      <alignment horizontal="center"/>
      <protection hidden="1"/>
    </xf>
    <xf numFmtId="0" fontId="0" fillId="12" borderId="6" xfId="0" applyFill="1" applyBorder="1" applyAlignment="1" applyProtection="1">
      <alignment horizontal="left" vertical="center"/>
      <protection hidden="1"/>
    </xf>
    <xf numFmtId="0" fontId="0" fillId="12" borderId="29" xfId="0" applyFill="1" applyBorder="1" applyAlignment="1" applyProtection="1">
      <alignment horizontal="left" vertical="center"/>
      <protection hidden="1"/>
    </xf>
    <xf numFmtId="0" fontId="0" fillId="12" borderId="4" xfId="0" applyFill="1" applyBorder="1" applyAlignment="1" applyProtection="1">
      <alignment horizontal="center" vertical="center" wrapText="1"/>
      <protection hidden="1"/>
    </xf>
    <xf numFmtId="9" fontId="40" fillId="11" borderId="94" xfId="18" applyFont="1" applyFill="1" applyBorder="1" applyAlignment="1" applyProtection="1">
      <alignment horizontal="center" vertical="center" wrapText="1"/>
      <protection hidden="1"/>
    </xf>
    <xf numFmtId="0" fontId="0" fillId="11" borderId="29" xfId="0" applyFill="1" applyBorder="1" applyAlignment="1" applyProtection="1">
      <alignment horizontal="left" vertical="top" wrapText="1"/>
      <protection hidden="1"/>
    </xf>
    <xf numFmtId="0" fontId="0" fillId="11" borderId="30" xfId="0" applyFill="1" applyBorder="1" applyAlignment="1" applyProtection="1">
      <alignment horizontal="left" vertical="top" wrapText="1"/>
      <protection hidden="1"/>
    </xf>
    <xf numFmtId="0" fontId="0" fillId="11" borderId="93" xfId="0" applyFill="1" applyBorder="1" applyAlignment="1" applyProtection="1">
      <alignment horizontal="left" vertical="top" wrapText="1"/>
      <protection hidden="1"/>
    </xf>
    <xf numFmtId="0" fontId="0" fillId="11" borderId="45" xfId="0" applyFill="1" applyBorder="1" applyAlignment="1" applyProtection="1">
      <alignment horizontal="left" vertical="top" wrapText="1"/>
      <protection hidden="1"/>
    </xf>
    <xf numFmtId="0" fontId="0" fillId="11" borderId="42" xfId="0" applyFill="1" applyBorder="1" applyAlignment="1" applyProtection="1">
      <alignment horizontal="left" vertical="top" wrapText="1"/>
      <protection hidden="1"/>
    </xf>
    <xf numFmtId="0" fontId="0" fillId="12" borderId="90" xfId="0" applyFill="1" applyBorder="1" applyAlignment="1" applyProtection="1">
      <alignment horizontal="left" vertical="center" wrapText="1"/>
      <protection hidden="1"/>
    </xf>
    <xf numFmtId="0" fontId="0" fillId="12" borderId="91" xfId="0" applyFill="1" applyBorder="1" applyAlignment="1" applyProtection="1">
      <alignment horizontal="left" vertical="center" wrapText="1"/>
      <protection hidden="1"/>
    </xf>
    <xf numFmtId="0" fontId="0" fillId="12" borderId="95" xfId="0" applyFill="1" applyBorder="1" applyAlignment="1" applyProtection="1">
      <alignment horizontal="left" vertical="center" wrapText="1"/>
      <protection hidden="1"/>
    </xf>
    <xf numFmtId="0" fontId="0" fillId="11" borderId="32" xfId="0" applyFill="1" applyBorder="1" applyAlignment="1" applyProtection="1">
      <alignment horizontal="left" vertical="top" wrapText="1"/>
      <protection hidden="1"/>
    </xf>
    <xf numFmtId="0" fontId="0" fillId="11" borderId="33" xfId="0" applyFill="1" applyBorder="1" applyAlignment="1" applyProtection="1">
      <alignment horizontal="left" vertical="top" wrapText="1"/>
      <protection hidden="1"/>
    </xf>
    <xf numFmtId="0" fontId="0" fillId="12" borderId="6" xfId="0" applyFill="1" applyBorder="1" applyAlignment="1" applyProtection="1">
      <alignment horizontal="left" vertical="center" wrapText="1"/>
      <protection hidden="1"/>
    </xf>
    <xf numFmtId="0" fontId="0" fillId="12" borderId="29" xfId="0" applyFill="1" applyBorder="1" applyAlignment="1" applyProtection="1">
      <alignment horizontal="left" vertical="center" wrapText="1"/>
      <protection hidden="1"/>
    </xf>
    <xf numFmtId="0" fontId="0" fillId="0" borderId="3" xfId="0" applyBorder="1" applyAlignment="1" applyProtection="1">
      <alignment horizontal="center" vertical="top"/>
      <protection hidden="1"/>
    </xf>
    <xf numFmtId="0" fontId="0" fillId="11" borderId="92" xfId="0" applyFill="1" applyBorder="1" applyAlignment="1" applyProtection="1">
      <alignment horizontal="left" vertical="top" wrapText="1"/>
      <protection hidden="1"/>
    </xf>
    <xf numFmtId="0" fontId="0" fillId="11" borderId="57" xfId="0" applyFill="1" applyBorder="1" applyAlignment="1" applyProtection="1">
      <alignment horizontal="left" vertical="top" wrapText="1"/>
      <protection hidden="1"/>
    </xf>
    <xf numFmtId="0" fontId="0" fillId="11" borderId="43" xfId="0" applyFill="1" applyBorder="1" applyAlignment="1" applyProtection="1">
      <alignment horizontal="left" vertical="top" wrapText="1"/>
      <protection hidden="1"/>
    </xf>
    <xf numFmtId="0" fontId="0" fillId="0" borderId="17" xfId="0" applyBorder="1" applyAlignment="1" applyProtection="1">
      <alignment horizontal="center"/>
      <protection hidden="1"/>
    </xf>
    <xf numFmtId="165" fontId="27" fillId="8" borderId="70" xfId="0" applyNumberFormat="1" applyFont="1" applyFill="1" applyBorder="1" applyAlignment="1" applyProtection="1">
      <alignment horizontal="center" vertical="center" textRotation="90"/>
      <protection locked="0" hidden="1"/>
    </xf>
    <xf numFmtId="165" fontId="27" fillId="8" borderId="58" xfId="0" applyNumberFormat="1" applyFont="1" applyFill="1" applyBorder="1" applyAlignment="1" applyProtection="1">
      <alignment horizontal="center" vertical="center" textRotation="90"/>
      <protection locked="0" hidden="1"/>
    </xf>
    <xf numFmtId="165" fontId="27" fillId="8" borderId="71" xfId="0" applyNumberFormat="1" applyFont="1" applyFill="1" applyBorder="1" applyAlignment="1" applyProtection="1">
      <alignment horizontal="center" vertical="center" textRotation="90"/>
      <protection locked="0" hidden="1"/>
    </xf>
    <xf numFmtId="0" fontId="21" fillId="0" borderId="70" xfId="0" applyFont="1" applyBorder="1" applyAlignment="1">
      <alignment horizontal="center" wrapText="1"/>
    </xf>
    <xf numFmtId="0" fontId="21" fillId="0" borderId="58" xfId="0" applyFont="1" applyBorder="1" applyAlignment="1">
      <alignment horizontal="center" wrapText="1"/>
    </xf>
    <xf numFmtId="0" fontId="21" fillId="0" borderId="71" xfId="0" applyFont="1" applyBorder="1" applyAlignment="1">
      <alignment horizontal="center" wrapText="1"/>
    </xf>
    <xf numFmtId="0" fontId="21" fillId="0" borderId="3" xfId="0" applyFont="1" applyBorder="1" applyAlignment="1">
      <alignment wrapText="1"/>
    </xf>
    <xf numFmtId="0" fontId="21" fillId="0" borderId="70"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71" xfId="0" applyFont="1" applyBorder="1" applyAlignment="1">
      <alignment horizontal="center" vertical="center" wrapText="1"/>
    </xf>
    <xf numFmtId="0" fontId="0" fillId="12" borderId="7" xfId="0" applyFill="1" applyBorder="1" applyAlignment="1" applyProtection="1">
      <alignment horizontal="left" vertical="center" wrapText="1"/>
      <protection hidden="1"/>
    </xf>
    <xf numFmtId="0" fontId="0" fillId="12" borderId="34" xfId="0" applyFill="1" applyBorder="1" applyAlignment="1" applyProtection="1">
      <alignment horizontal="left" vertical="center" wrapText="1"/>
      <protection hidden="1"/>
    </xf>
    <xf numFmtId="0" fontId="0" fillId="25" borderId="1" xfId="0" applyFill="1" applyBorder="1" applyAlignment="1" applyProtection="1">
      <alignment horizontal="center"/>
      <protection hidden="1"/>
    </xf>
    <xf numFmtId="0" fontId="0" fillId="25" borderId="26" xfId="0" applyFill="1" applyBorder="1" applyAlignment="1" applyProtection="1">
      <alignment horizontal="center"/>
      <protection hidden="1"/>
    </xf>
    <xf numFmtId="0" fontId="0" fillId="25" borderId="27" xfId="0" applyFill="1" applyBorder="1" applyAlignment="1" applyProtection="1">
      <alignment horizontal="center"/>
      <protection hidden="1"/>
    </xf>
    <xf numFmtId="1" fontId="19" fillId="0" borderId="34" xfId="0" applyNumberFormat="1" applyFont="1" applyBorder="1" applyAlignment="1">
      <alignment horizontal="center"/>
    </xf>
    <xf numFmtId="1" fontId="19" fillId="0" borderId="35" xfId="0" applyNumberFormat="1" applyFont="1" applyBorder="1" applyAlignment="1">
      <alignment horizontal="center"/>
    </xf>
    <xf numFmtId="0" fontId="19" fillId="0" borderId="34" xfId="0" applyFont="1" applyBorder="1" applyAlignment="1">
      <alignment horizontal="center"/>
    </xf>
    <xf numFmtId="0" fontId="20" fillId="0" borderId="93" xfId="0" applyFont="1" applyBorder="1" applyAlignment="1">
      <alignment horizontal="center"/>
    </xf>
    <xf numFmtId="0" fontId="20" fillId="0" borderId="96" xfId="0" applyFont="1" applyBorder="1" applyAlignment="1">
      <alignment horizontal="center"/>
    </xf>
    <xf numFmtId="0" fontId="19" fillId="0" borderId="29" xfId="0" applyFont="1" applyBorder="1" applyAlignment="1">
      <alignment horizontal="center"/>
    </xf>
    <xf numFmtId="0" fontId="19" fillId="0" borderId="93" xfId="0" applyFont="1" applyBorder="1" applyAlignment="1">
      <alignment horizontal="center"/>
    </xf>
    <xf numFmtId="0" fontId="19" fillId="0" borderId="96" xfId="0" applyFont="1" applyBorder="1" applyAlignment="1">
      <alignment horizontal="center"/>
    </xf>
    <xf numFmtId="2" fontId="19" fillId="0" borderId="29" xfId="0" applyNumberFormat="1" applyFont="1" applyBorder="1" applyAlignment="1">
      <alignment horizontal="center"/>
    </xf>
    <xf numFmtId="2" fontId="19" fillId="0" borderId="34" xfId="0" applyNumberFormat="1" applyFont="1" applyBorder="1" applyAlignment="1">
      <alignment horizontal="center"/>
    </xf>
    <xf numFmtId="0" fontId="20" fillId="0" borderId="29" xfId="0" applyFont="1" applyBorder="1" applyAlignment="1">
      <alignment horizontal="center"/>
    </xf>
    <xf numFmtId="0" fontId="20" fillId="0" borderId="34" xfId="0" applyFont="1" applyBorder="1" applyAlignment="1">
      <alignment horizontal="center"/>
    </xf>
    <xf numFmtId="0" fontId="19" fillId="0" borderId="52" xfId="0" applyFont="1" applyBorder="1" applyAlignment="1">
      <alignment horizontal="center"/>
    </xf>
    <xf numFmtId="1" fontId="19" fillId="0" borderId="29" xfId="0" applyNumberFormat="1" applyFont="1" applyBorder="1" applyAlignment="1">
      <alignment horizontal="center"/>
    </xf>
    <xf numFmtId="1" fontId="19" fillId="0" borderId="30" xfId="0" applyNumberFormat="1" applyFont="1" applyBorder="1" applyAlignment="1">
      <alignment horizontal="center"/>
    </xf>
    <xf numFmtId="2" fontId="20" fillId="0" borderId="34" xfId="0" applyNumberFormat="1" applyFont="1" applyBorder="1" applyAlignment="1">
      <alignment horizontal="center"/>
    </xf>
    <xf numFmtId="0" fontId="19" fillId="3" borderId="22" xfId="0" applyFont="1" applyFill="1" applyBorder="1" applyAlignment="1">
      <alignment horizontal="center"/>
    </xf>
    <xf numFmtId="0" fontId="19" fillId="3" borderId="24" xfId="0" applyFont="1" applyFill="1" applyBorder="1" applyAlignment="1">
      <alignment horizontal="center"/>
    </xf>
    <xf numFmtId="0" fontId="19" fillId="4" borderId="97" xfId="0" applyFont="1" applyFill="1" applyBorder="1" applyAlignment="1">
      <alignment horizontal="center"/>
    </xf>
    <xf numFmtId="0" fontId="20" fillId="0" borderId="52" xfId="0" applyFont="1" applyBorder="1" applyAlignment="1">
      <alignment horizontal="center"/>
    </xf>
    <xf numFmtId="2" fontId="19" fillId="0" borderId="50" xfId="0" applyNumberFormat="1" applyFont="1" applyBorder="1" applyAlignment="1">
      <alignment horizontal="center"/>
    </xf>
    <xf numFmtId="1" fontId="19" fillId="0" borderId="50" xfId="0" applyNumberFormat="1" applyFont="1" applyBorder="1" applyAlignment="1">
      <alignment horizontal="center"/>
    </xf>
    <xf numFmtId="1" fontId="19" fillId="0" borderId="51" xfId="0" applyNumberFormat="1" applyFont="1" applyBorder="1" applyAlignment="1">
      <alignment horizontal="center"/>
    </xf>
    <xf numFmtId="2" fontId="19" fillId="0" borderId="52" xfId="0" applyNumberFormat="1" applyFont="1" applyBorder="1" applyAlignment="1">
      <alignment horizontal="center"/>
    </xf>
    <xf numFmtId="1" fontId="19" fillId="0" borderId="52" xfId="0" applyNumberFormat="1" applyFont="1" applyBorder="1" applyAlignment="1">
      <alignment horizontal="center"/>
    </xf>
    <xf numFmtId="1" fontId="19" fillId="0" borderId="53" xfId="0" applyNumberFormat="1" applyFont="1" applyBorder="1" applyAlignment="1">
      <alignment horizontal="center"/>
    </xf>
    <xf numFmtId="1" fontId="20" fillId="0" borderId="34" xfId="0" applyNumberFormat="1" applyFont="1" applyBorder="1" applyAlignment="1">
      <alignment horizontal="center"/>
    </xf>
    <xf numFmtId="1" fontId="20" fillId="0" borderId="35" xfId="0" applyNumberFormat="1" applyFont="1" applyBorder="1" applyAlignment="1">
      <alignment horizontal="center"/>
    </xf>
    <xf numFmtId="2" fontId="20" fillId="0" borderId="29" xfId="0" applyNumberFormat="1" applyFont="1" applyBorder="1" applyAlignment="1">
      <alignment horizontal="center"/>
    </xf>
    <xf numFmtId="1" fontId="20" fillId="0" borderId="29" xfId="0" applyNumberFormat="1" applyFont="1" applyBorder="1" applyAlignment="1">
      <alignment horizontal="center"/>
    </xf>
    <xf numFmtId="1" fontId="20" fillId="0" borderId="30" xfId="0" applyNumberFormat="1" applyFont="1" applyBorder="1" applyAlignment="1">
      <alignment horizontal="center"/>
    </xf>
    <xf numFmtId="2" fontId="20" fillId="0" borderId="52" xfId="0" applyNumberFormat="1" applyFont="1" applyBorder="1" applyAlignment="1">
      <alignment horizontal="center"/>
    </xf>
    <xf numFmtId="2" fontId="20" fillId="0" borderId="95" xfId="0" applyNumberFormat="1" applyFont="1" applyBorder="1" applyAlignment="1">
      <alignment horizontal="center"/>
    </xf>
    <xf numFmtId="1" fontId="20" fillId="0" borderId="52" xfId="0" applyNumberFormat="1" applyFont="1" applyBorder="1" applyAlignment="1">
      <alignment horizontal="center"/>
    </xf>
    <xf numFmtId="1" fontId="20" fillId="0" borderId="53" xfId="0" applyNumberFormat="1" applyFont="1" applyBorder="1" applyAlignment="1">
      <alignment horizontal="center"/>
    </xf>
    <xf numFmtId="2" fontId="20" fillId="0" borderId="93" xfId="0" applyNumberFormat="1" applyFont="1" applyBorder="1" applyAlignment="1">
      <alignment horizontal="center"/>
    </xf>
    <xf numFmtId="2" fontId="20" fillId="0" borderId="96" xfId="0" applyNumberFormat="1" applyFont="1" applyBorder="1" applyAlignment="1">
      <alignment horizontal="center"/>
    </xf>
    <xf numFmtId="0" fontId="19" fillId="4" borderId="94" xfId="0" applyFont="1" applyFill="1" applyBorder="1" applyAlignment="1">
      <alignment horizontal="center"/>
    </xf>
    <xf numFmtId="0" fontId="20" fillId="0" borderId="98" xfId="0" applyFont="1" applyBorder="1" applyAlignment="1">
      <alignment horizontal="center"/>
    </xf>
    <xf numFmtId="0" fontId="20" fillId="0" borderId="95" xfId="0" applyFont="1" applyBorder="1" applyAlignment="1">
      <alignment horizontal="center"/>
    </xf>
  </cellXfs>
  <cellStyles count="19">
    <cellStyle name="Hypertextový odkaz" xfId="1" builtinId="8"/>
    <cellStyle name="Hypertextový odkaz 2" xfId="2" xr:uid="{72689374-BDE2-4D04-94B1-D83F1A41717D}"/>
    <cellStyle name="Měna" xfId="3" builtinId="4"/>
    <cellStyle name="Měna 2" xfId="4" xr:uid="{04803869-CABA-4954-9274-C3D63C26FE12}"/>
    <cellStyle name="Normální" xfId="0" builtinId="0"/>
    <cellStyle name="normální 10" xfId="5" xr:uid="{C12F5525-FCF1-418B-9419-1D98ADF09A4A}"/>
    <cellStyle name="normální 11" xfId="6" xr:uid="{62BD2A5E-E1E1-4B71-B837-5427E95C9E42}"/>
    <cellStyle name="normální 12" xfId="7" xr:uid="{4FD246D4-A57E-44F1-9864-45F09B3D2832}"/>
    <cellStyle name="Normální 13" xfId="8" xr:uid="{0FADEEB3-DF91-48ED-A187-B247A8023018}"/>
    <cellStyle name="Normální 13 2" xfId="9" xr:uid="{B34BA3FE-C4A4-459C-A812-9CFB55A0FE65}"/>
    <cellStyle name="normální 2" xfId="10" xr:uid="{4C107E5F-6539-4689-9C21-517655002373}"/>
    <cellStyle name="normální 3" xfId="11" xr:uid="{07730DC6-8CBB-49C2-AC1A-72DDF8BD9409}"/>
    <cellStyle name="normální 4" xfId="12" xr:uid="{AE5DD1EE-93C0-42FB-A31E-353037E2FA64}"/>
    <cellStyle name="normální 5" xfId="13" xr:uid="{FD57E485-35D0-4D95-9BAF-1256DA48D81D}"/>
    <cellStyle name="normální 6" xfId="14" xr:uid="{31500C07-3F01-442E-B71B-1891A8D0E56B}"/>
    <cellStyle name="normální 7" xfId="15" xr:uid="{D74732A5-E202-4D2C-ACC5-D8F1F84AB2F4}"/>
    <cellStyle name="normální 8" xfId="16" xr:uid="{22B792F4-B021-4D30-B165-85A2302DABD4}"/>
    <cellStyle name="normální 9" xfId="17" xr:uid="{2DEB91A9-DF2D-40B1-B872-BB1B03059AAE}"/>
    <cellStyle name="Procenta" xfId="18" builtinId="5"/>
  </cellStyles>
  <dxfs count="733">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strike val="0"/>
        <color rgb="FFFF0000"/>
        <name val="Cambria"/>
        <scheme val="none"/>
      </font>
      <fill>
        <patternFill>
          <bgColor rgb="FFFF0000"/>
        </patternFill>
      </fill>
    </dxf>
    <dxf>
      <font>
        <strike val="0"/>
        <color rgb="FFFF0000"/>
        <name val="Cambria"/>
        <scheme val="none"/>
      </font>
      <fill>
        <patternFill>
          <bgColor rgb="FFFF0000"/>
        </patternFill>
      </fill>
    </dxf>
    <dxf>
      <font>
        <strike val="0"/>
        <color rgb="FFFF0000"/>
        <name val="Cambria"/>
        <scheme val="none"/>
      </font>
      <fill>
        <patternFill>
          <bgColor rgb="FFFF0000"/>
        </patternFill>
      </fill>
    </dxf>
    <dxf>
      <font>
        <strike val="0"/>
        <color rgb="FFFF0000"/>
        <name val="Cambria"/>
        <scheme val="none"/>
      </font>
      <fill>
        <patternFill>
          <bgColor rgb="FFFF0000"/>
        </patternFill>
      </fill>
    </dxf>
    <dxf>
      <font>
        <strike val="0"/>
        <color rgb="FFFF0000"/>
        <name val="Cambria"/>
        <scheme val="none"/>
      </font>
      <fill>
        <patternFill>
          <bgColor rgb="FFFF0000"/>
        </patternFill>
      </fill>
    </dxf>
    <dxf>
      <font>
        <strike val="0"/>
        <color rgb="FFFF0000"/>
        <name val="Cambria"/>
        <scheme val="none"/>
      </font>
      <fill>
        <patternFill>
          <bgColor rgb="FFFF00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rgb="FF009E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1"/>
      </font>
      <fill>
        <patternFill patternType="none">
          <bgColor indexed="65"/>
        </patternFill>
      </fill>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009EE0"/>
      </font>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b/>
        <i val="0"/>
        <strike val="0"/>
        <color rgb="FFFF0000"/>
      </font>
    </dxf>
    <dxf>
      <font>
        <color rgb="FF009EE0"/>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theme="0"/>
      </font>
      <fill>
        <patternFill>
          <bgColor theme="0"/>
        </patternFill>
      </fill>
    </dxf>
    <dxf>
      <font>
        <color theme="0" tint="-0.499984740745262"/>
      </font>
      <fill>
        <patternFill>
          <bgColor theme="0" tint="-0.499984740745262"/>
        </patternFill>
      </fill>
    </dxf>
    <dxf>
      <font>
        <b val="0"/>
        <i val="0"/>
        <strike val="0"/>
      </font>
      <fill>
        <patternFill>
          <bgColor rgb="FFFF0000"/>
        </patternFill>
      </fill>
    </dxf>
    <dxf>
      <font>
        <b val="0"/>
        <i val="0"/>
        <strike val="0"/>
      </font>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patternType="darkDown">
          <bgColor auto="1"/>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font>
    </dxf>
    <dxf>
      <font>
        <color theme="0"/>
      </font>
    </dxf>
    <dxf>
      <font>
        <color theme="0" tint="-0.34998626667073579"/>
      </font>
      <fill>
        <patternFill>
          <bgColor theme="0" tint="-0.34998626667073579"/>
        </patternFill>
      </fill>
    </dxf>
    <dxf>
      <font>
        <color theme="0"/>
      </font>
      <fill>
        <patternFill>
          <bgColor theme="0"/>
        </patternFill>
      </fill>
    </dxf>
    <dxf>
      <font>
        <color theme="0"/>
      </font>
      <fill>
        <patternFill>
          <bgColor theme="0"/>
        </patternFill>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tint="-0.499984740745262"/>
      </font>
      <fill>
        <patternFill>
          <bgColor theme="0" tint="-0.499984740745262"/>
        </patternFill>
      </fill>
    </dxf>
    <dxf>
      <font>
        <color theme="0"/>
      </font>
      <fill>
        <patternFill>
          <bgColor theme="3"/>
        </patternFill>
      </fill>
    </dxf>
    <dxf>
      <font>
        <color theme="0" tint="-0.499984740745262"/>
      </font>
      <fill>
        <patternFill>
          <bgColor theme="0" tint="-0.499984740745262"/>
        </patternFill>
      </fill>
    </dxf>
    <dxf>
      <font>
        <color indexed="20"/>
      </font>
      <fill>
        <patternFill>
          <bgColor indexed="45"/>
        </patternFill>
      </fill>
    </dxf>
    <dxf>
      <font>
        <color indexed="20"/>
      </font>
      <fill>
        <patternFill>
          <bgColor indexed="45"/>
        </patternFill>
      </fill>
    </dxf>
    <dxf>
      <font>
        <b/>
        <i val="0"/>
        <color theme="1"/>
      </font>
      <fill>
        <patternFill>
          <bgColor rgb="FF92D050"/>
        </patternFill>
      </fill>
    </dxf>
    <dxf>
      <font>
        <color theme="0"/>
      </font>
      <fill>
        <patternFill>
          <bgColor theme="0"/>
        </patternFill>
      </fill>
      <border>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REF!"/>
</file>

<file path=xl/ctrlProps/ctrlProp100.xml><?xml version="1.0" encoding="utf-8"?>
<formControlPr xmlns="http://schemas.microsoft.com/office/spreadsheetml/2009/9/main" objectType="CheckBox" fmlaLink="#REF!"/>
</file>

<file path=xl/ctrlProps/ctrlProp101.xml><?xml version="1.0" encoding="utf-8"?>
<formControlPr xmlns="http://schemas.microsoft.com/office/spreadsheetml/2009/9/main" objectType="CheckBox" fmlaLink="kombinace_1!$H$1" lockText="1"/>
</file>

<file path=xl/ctrlProps/ctrlProp102.xml><?xml version="1.0" encoding="utf-8"?>
<formControlPr xmlns="http://schemas.microsoft.com/office/spreadsheetml/2009/9/main" objectType="CheckBox" fmlaLink="#REF!"/>
</file>

<file path=xl/ctrlProps/ctrlProp103.xml><?xml version="1.0" encoding="utf-8"?>
<formControlPr xmlns="http://schemas.microsoft.com/office/spreadsheetml/2009/9/main" objectType="CheckBox" fmlaLink="kombinace_1!$H$1" lockText="1"/>
</file>

<file path=xl/ctrlProps/ctrlProp104.xml><?xml version="1.0" encoding="utf-8"?>
<formControlPr xmlns="http://schemas.microsoft.com/office/spreadsheetml/2009/9/main" objectType="CheckBox" fmlaLink="#REF!"/>
</file>

<file path=xl/ctrlProps/ctrlProp105.xml><?xml version="1.0" encoding="utf-8"?>
<formControlPr xmlns="http://schemas.microsoft.com/office/spreadsheetml/2009/9/main" objectType="CheckBox" fmlaLink="kombinace_6!$H$1" lockText="1"/>
</file>

<file path=xl/ctrlProps/ctrlProp106.xml><?xml version="1.0" encoding="utf-8"?>
<formControlPr xmlns="http://schemas.microsoft.com/office/spreadsheetml/2009/9/main" objectType="CheckBox" fmlaLink="#REF!"/>
</file>

<file path=xl/ctrlProps/ctrlProp107.xml><?xml version="1.0" encoding="utf-8"?>
<formControlPr xmlns="http://schemas.microsoft.com/office/spreadsheetml/2009/9/main" objectType="CheckBox" fmlaLink="kombinace_6!$H$1" lockText="1"/>
</file>

<file path=xl/ctrlProps/ctrlProp108.xml><?xml version="1.0" encoding="utf-8"?>
<formControlPr xmlns="http://schemas.microsoft.com/office/spreadsheetml/2009/9/main" objectType="CheckBox" fmlaLink="#REF!"/>
</file>

<file path=xl/ctrlProps/ctrlProp109.xml><?xml version="1.0" encoding="utf-8"?>
<formControlPr xmlns="http://schemas.microsoft.com/office/spreadsheetml/2009/9/main" objectType="CheckBox" fmlaLink="kombinace_2!$H$1" lockText="1"/>
</file>

<file path=xl/ctrlProps/ctrlProp11.xml><?xml version="1.0" encoding="utf-8"?>
<formControlPr xmlns="http://schemas.microsoft.com/office/spreadsheetml/2009/9/main" objectType="CheckBox" fmlaLink="kombinace_1!$H$1" lockText="1"/>
</file>

<file path=xl/ctrlProps/ctrlProp110.xml><?xml version="1.0" encoding="utf-8"?>
<formControlPr xmlns="http://schemas.microsoft.com/office/spreadsheetml/2009/9/main" objectType="CheckBox" fmlaLink="#REF!"/>
</file>

<file path=xl/ctrlProps/ctrlProp111.xml><?xml version="1.0" encoding="utf-8"?>
<formControlPr xmlns="http://schemas.microsoft.com/office/spreadsheetml/2009/9/main" objectType="CheckBox" fmlaLink="kombinace_1!$H$1" lockText="1"/>
</file>

<file path=xl/ctrlProps/ctrlProp112.xml><?xml version="1.0" encoding="utf-8"?>
<formControlPr xmlns="http://schemas.microsoft.com/office/spreadsheetml/2009/9/main" objectType="CheckBox" fmlaLink="#REF!"/>
</file>

<file path=xl/ctrlProps/ctrlProp113.xml><?xml version="1.0" encoding="utf-8"?>
<formControlPr xmlns="http://schemas.microsoft.com/office/spreadsheetml/2009/9/main" objectType="CheckBox" fmlaLink="kombinace_1!$H$1" lockText="1"/>
</file>

<file path=xl/ctrlProps/ctrlProp114.xml><?xml version="1.0" encoding="utf-8"?>
<formControlPr xmlns="http://schemas.microsoft.com/office/spreadsheetml/2009/9/main" objectType="CheckBox" fmlaLink="#REF!"/>
</file>

<file path=xl/ctrlProps/ctrlProp115.xml><?xml version="1.0" encoding="utf-8"?>
<formControlPr xmlns="http://schemas.microsoft.com/office/spreadsheetml/2009/9/main" objectType="CheckBox" fmlaLink="kombinace_6!$H$1" lockText="1"/>
</file>

<file path=xl/ctrlProps/ctrlProp116.xml><?xml version="1.0" encoding="utf-8"?>
<formControlPr xmlns="http://schemas.microsoft.com/office/spreadsheetml/2009/9/main" objectType="CheckBox" fmlaLink="#REF!"/>
</file>

<file path=xl/ctrlProps/ctrlProp117.xml><?xml version="1.0" encoding="utf-8"?>
<formControlPr xmlns="http://schemas.microsoft.com/office/spreadsheetml/2009/9/main" objectType="CheckBox" fmlaLink="#REF!"/>
</file>

<file path=xl/ctrlProps/ctrlProp118.xml><?xml version="1.0" encoding="utf-8"?>
<formControlPr xmlns="http://schemas.microsoft.com/office/spreadsheetml/2009/9/main" objectType="CheckBox" fmlaLink="#REF!"/>
</file>

<file path=xl/ctrlProps/ctrlProp119.xml><?xml version="1.0" encoding="utf-8"?>
<formControlPr xmlns="http://schemas.microsoft.com/office/spreadsheetml/2009/9/main" objectType="CheckBox" fmlaLink="#REF!"/>
</file>

<file path=xl/ctrlProps/ctrlProp12.xml><?xml version="1.0" encoding="utf-8"?>
<formControlPr xmlns="http://schemas.microsoft.com/office/spreadsheetml/2009/9/main" objectType="CheckBox" fmlaLink="#REF!"/>
</file>

<file path=xl/ctrlProps/ctrlProp120.xml><?xml version="1.0" encoding="utf-8"?>
<formControlPr xmlns="http://schemas.microsoft.com/office/spreadsheetml/2009/9/main" objectType="Radio" checked="Checked" firstButton="1" fmlaLink="kombinace_2!$V$1"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CheckBox" fmlaLink="kombinace_2!$H$1" lockText="1"/>
</file>

<file path=xl/ctrlProps/ctrlProp124.xml><?xml version="1.0" encoding="utf-8"?>
<formControlPr xmlns="http://schemas.microsoft.com/office/spreadsheetml/2009/9/main" objectType="CheckBox" fmlaLink="#REF!"/>
</file>

<file path=xl/ctrlProps/ctrlProp125.xml><?xml version="1.0" encoding="utf-8"?>
<formControlPr xmlns="http://schemas.microsoft.com/office/spreadsheetml/2009/9/main" objectType="CheckBox" checked="Checked" fmlaLink="$AQ$22" lockText="1"/>
</file>

<file path=xl/ctrlProps/ctrlProp126.xml><?xml version="1.0" encoding="utf-8"?>
<formControlPr xmlns="http://schemas.microsoft.com/office/spreadsheetml/2009/9/main" objectType="CheckBox" fmlaLink="#REF!"/>
</file>

<file path=xl/ctrlProps/ctrlProp127.xml><?xml version="1.0" encoding="utf-8"?>
<formControlPr xmlns="http://schemas.microsoft.com/office/spreadsheetml/2009/9/main" objectType="CheckBox" checked="Checked" fmlaLink="$AJ$4" lockText="1" noThreeD="1"/>
</file>

<file path=xl/ctrlProps/ctrlProp128.xml><?xml version="1.0" encoding="utf-8"?>
<formControlPr xmlns="http://schemas.microsoft.com/office/spreadsheetml/2009/9/main" objectType="CheckBox" checked="Checked" fmlaLink="AF35"/>
</file>

<file path=xl/ctrlProps/ctrlProp129.xml><?xml version="1.0" encoding="utf-8"?>
<formControlPr xmlns="http://schemas.microsoft.com/office/spreadsheetml/2009/9/main" objectType="CheckBox" checked="Checked" fmlaLink="AF35"/>
</file>

<file path=xl/ctrlProps/ctrlProp13.xml><?xml version="1.0" encoding="utf-8"?>
<formControlPr xmlns="http://schemas.microsoft.com/office/spreadsheetml/2009/9/main" objectType="CheckBox" fmlaLink="kombinace_2!$H$1" lockText="1"/>
</file>

<file path=xl/ctrlProps/ctrlProp130.xml><?xml version="1.0" encoding="utf-8"?>
<formControlPr xmlns="http://schemas.microsoft.com/office/spreadsheetml/2009/9/main" objectType="CheckBox" checked="Checked" fmlaLink="AF35"/>
</file>

<file path=xl/ctrlProps/ctrlProp131.xml><?xml version="1.0" encoding="utf-8"?>
<formControlPr xmlns="http://schemas.microsoft.com/office/spreadsheetml/2009/9/main" objectType="CheckBox" checked="Checked" fmlaLink="AF35"/>
</file>

<file path=xl/ctrlProps/ctrlProp132.xml><?xml version="1.0" encoding="utf-8"?>
<formControlPr xmlns="http://schemas.microsoft.com/office/spreadsheetml/2009/9/main" objectType="CheckBox" checked="Checked" fmlaLink="AF35"/>
</file>

<file path=xl/ctrlProps/ctrlProp133.xml><?xml version="1.0" encoding="utf-8"?>
<formControlPr xmlns="http://schemas.microsoft.com/office/spreadsheetml/2009/9/main" objectType="CheckBox" checked="Checked" fmlaLink="AF35"/>
</file>

<file path=xl/ctrlProps/ctrlProp134.xml><?xml version="1.0" encoding="utf-8"?>
<formControlPr xmlns="http://schemas.microsoft.com/office/spreadsheetml/2009/9/main" objectType="CheckBox" checked="Checked" fmlaLink="AF35"/>
</file>

<file path=xl/ctrlProps/ctrlProp14.xml><?xml version="1.0" encoding="utf-8"?>
<formControlPr xmlns="http://schemas.microsoft.com/office/spreadsheetml/2009/9/main" objectType="CheckBox" fmlaLink="#REF!"/>
</file>

<file path=xl/ctrlProps/ctrlProp15.xml><?xml version="1.0" encoding="utf-8"?>
<formControlPr xmlns="http://schemas.microsoft.com/office/spreadsheetml/2009/9/main" objectType="CheckBox" fmlaLink="kombinace_2!$H$1"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CheckBox" fmlaLink="#REF!"/>
</file>

<file path=xl/ctrlProps/ctrlProp18.xml><?xml version="1.0" encoding="utf-8"?>
<formControlPr xmlns="http://schemas.microsoft.com/office/spreadsheetml/2009/9/main" objectType="CheckBox" fmlaLink="#REF!"/>
</file>

<file path=xl/ctrlProps/ctrlProp19.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3!$H$1" lockText="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kombinace_1!$H$1" lockText="1"/>
</file>

<file path=xl/ctrlProps/ctrlProp23.xml><?xml version="1.0" encoding="utf-8"?>
<formControlPr xmlns="http://schemas.microsoft.com/office/spreadsheetml/2009/9/main" objectType="CheckBox" fmlaLink="kombinace_3!$FC$2" lockText="1"/>
</file>

<file path=xl/ctrlProps/ctrlProp24.xml><?xml version="1.0" encoding="utf-8"?>
<formControlPr xmlns="http://schemas.microsoft.com/office/spreadsheetml/2009/9/main" objectType="CheckBox" fmlaLink="#REF!"/>
</file>

<file path=xl/ctrlProps/ctrlProp25.xml><?xml version="1.0" encoding="utf-8"?>
<formControlPr xmlns="http://schemas.microsoft.com/office/spreadsheetml/2009/9/main" objectType="CheckBox" fmlaLink="kombinace_3!$H$1" lockText="1"/>
</file>

<file path=xl/ctrlProps/ctrlProp26.xml><?xml version="1.0" encoding="utf-8"?>
<formControlPr xmlns="http://schemas.microsoft.com/office/spreadsheetml/2009/9/main" objectType="CheckBox" fmlaLink="#REF!"/>
</file>

<file path=xl/ctrlProps/ctrlProp27.xml><?xml version="1.0" encoding="utf-8"?>
<formControlPr xmlns="http://schemas.microsoft.com/office/spreadsheetml/2009/9/main" objectType="CheckBox" fmlaLink="#REF!"/>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kombinace_2!$H$1" lockText="1"/>
</file>

<file path=xl/ctrlProps/ctrlProp3.xml><?xml version="1.0" encoding="utf-8"?>
<formControlPr xmlns="http://schemas.microsoft.com/office/spreadsheetml/2009/9/main" objectType="CheckBox" fmlaLink="kombinace_1!$H$1" lockText="1"/>
</file>

<file path=xl/ctrlProps/ctrlProp30.xml><?xml version="1.0" encoding="utf-8"?>
<formControlPr xmlns="http://schemas.microsoft.com/office/spreadsheetml/2009/9/main" objectType="CheckBox" fmlaLink="#REF!"/>
</file>

<file path=xl/ctrlProps/ctrlProp31.xml><?xml version="1.0" encoding="utf-8"?>
<formControlPr xmlns="http://schemas.microsoft.com/office/spreadsheetml/2009/9/main" objectType="CheckBox" fmlaLink="kombinace_1!$H$1" lockText="1"/>
</file>

<file path=xl/ctrlProps/ctrlProp32.xml><?xml version="1.0" encoding="utf-8"?>
<formControlPr xmlns="http://schemas.microsoft.com/office/spreadsheetml/2009/9/main" objectType="CheckBox" fmlaLink="kombinace_3!$FC$2" lockText="1"/>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kombinace_1!$H$1" lockText="1"/>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kombinace_2!$H$1" lockText="1"/>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kombinace_2!$H$1" lockText="1"/>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ombinace_1!$FC$2" lockText="1"/>
</file>

<file path=xl/ctrlProps/ctrlProp40.xml><?xml version="1.0" encoding="utf-8"?>
<formControlPr xmlns="http://schemas.microsoft.com/office/spreadsheetml/2009/9/main" objectType="CheckBox" fmlaLink="kombinace_3!$H$1" lockText="1"/>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kombinace_4!$H$1" lockText="1"/>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kombinace_1!$H$1" lockText="1"/>
</file>

<file path=xl/ctrlProps/ctrlProp46.xml><?xml version="1.0" encoding="utf-8"?>
<formControlPr xmlns="http://schemas.microsoft.com/office/spreadsheetml/2009/9/main" objectType="CheckBox" fmlaLink="kombinace_4!$FC$2" lockText="1"/>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kombinace_1!$H$1" lockText="1"/>
</file>

<file path=xl/ctrlProps/ctrlProp49.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REF!"/>
</file>

<file path=xl/ctrlProps/ctrlProp50.xml><?xml version="1.0" encoding="utf-8"?>
<formControlPr xmlns="http://schemas.microsoft.com/office/spreadsheetml/2009/9/main" objectType="CheckBox" fmlaLink="kombinace_4!$H$1" lockText="1"/>
</file>

<file path=xl/ctrlProps/ctrlProp51.xml><?xml version="1.0" encoding="utf-8"?>
<formControlPr xmlns="http://schemas.microsoft.com/office/spreadsheetml/2009/9/main" objectType="CheckBox" fmlaLink="#REF!"/>
</file>

<file path=xl/ctrlProps/ctrlProp52.xml><?xml version="1.0" encoding="utf-8"?>
<formControlPr xmlns="http://schemas.microsoft.com/office/spreadsheetml/2009/9/main" objectType="CheckBox" fmlaLink="kombinace_4!$H$1" lockText="1"/>
</file>

<file path=xl/ctrlProps/ctrlProp53.xml><?xml version="1.0" encoding="utf-8"?>
<formControlPr xmlns="http://schemas.microsoft.com/office/spreadsheetml/2009/9/main" objectType="CheckBox" fmlaLink="#REF!"/>
</file>

<file path=xl/ctrlProps/ctrlProp54.xml><?xml version="1.0" encoding="utf-8"?>
<formControlPr xmlns="http://schemas.microsoft.com/office/spreadsheetml/2009/9/main" objectType="CheckBox" fmlaLink="kombinace_2!$H$1" lockText="1"/>
</file>

<file path=xl/ctrlProps/ctrlProp55.xml><?xml version="1.0" encoding="utf-8"?>
<formControlPr xmlns="http://schemas.microsoft.com/office/spreadsheetml/2009/9/main" objectType="CheckBox" fmlaLink="#REF!"/>
</file>

<file path=xl/ctrlProps/ctrlProp56.xml><?xml version="1.0" encoding="utf-8"?>
<formControlPr xmlns="http://schemas.microsoft.com/office/spreadsheetml/2009/9/main" objectType="CheckBox" fmlaLink="kombinace_1!$H$1" lockText="1"/>
</file>

<file path=xl/ctrlProps/ctrlProp57.xml><?xml version="1.0" encoding="utf-8"?>
<formControlPr xmlns="http://schemas.microsoft.com/office/spreadsheetml/2009/9/main" objectType="CheckBox" fmlaLink="#REF!"/>
</file>

<file path=xl/ctrlProps/ctrlProp58.xml><?xml version="1.0" encoding="utf-8"?>
<formControlPr xmlns="http://schemas.microsoft.com/office/spreadsheetml/2009/9/main" objectType="CheckBox" fmlaLink="kombinace_1!$H$1" lockText="1"/>
</file>

<file path=xl/ctrlProps/ctrlProp59.xml><?xml version="1.0" encoding="utf-8"?>
<formControlPr xmlns="http://schemas.microsoft.com/office/spreadsheetml/2009/9/main" objectType="CheckBox" fmlaLink="#REF!"/>
</file>

<file path=xl/ctrlProps/ctrlProp6.xml><?xml version="1.0" encoding="utf-8"?>
<formControlPr xmlns="http://schemas.microsoft.com/office/spreadsheetml/2009/9/main" objectType="CheckBox" fmlaLink="kombinace_2!$H$1" lockText="1"/>
</file>

<file path=xl/ctrlProps/ctrlProp60.xml><?xml version="1.0" encoding="utf-8"?>
<formControlPr xmlns="http://schemas.microsoft.com/office/spreadsheetml/2009/9/main" objectType="CheckBox" fmlaLink="kombinace_2!$H$1" lockText="1"/>
</file>

<file path=xl/ctrlProps/ctrlProp61.xml><?xml version="1.0" encoding="utf-8"?>
<formControlPr xmlns="http://schemas.microsoft.com/office/spreadsheetml/2009/9/main" objectType="CheckBox" fmlaLink="#REF!"/>
</file>

<file path=xl/ctrlProps/ctrlProp62.xml><?xml version="1.0" encoding="utf-8"?>
<formControlPr xmlns="http://schemas.microsoft.com/office/spreadsheetml/2009/9/main" objectType="CheckBox" fmlaLink="kombinace_4!$H$1" lockText="1"/>
</file>

<file path=xl/ctrlProps/ctrlProp63.xml><?xml version="1.0" encoding="utf-8"?>
<formControlPr xmlns="http://schemas.microsoft.com/office/spreadsheetml/2009/9/main" objectType="CheckBox" fmlaLink="#REF!"/>
</file>

<file path=xl/ctrlProps/ctrlProp64.xml><?xml version="1.0" encoding="utf-8"?>
<formControlPr xmlns="http://schemas.microsoft.com/office/spreadsheetml/2009/9/main" objectType="CheckBox" fmlaLink="#REF!"/>
</file>

<file path=xl/ctrlProps/ctrlProp65.xml><?xml version="1.0" encoding="utf-8"?>
<formControlPr xmlns="http://schemas.microsoft.com/office/spreadsheetml/2009/9/main" objectType="CheckBox" fmlaLink="#REF!"/>
</file>

<file path=xl/ctrlProps/ctrlProp66.xml><?xml version="1.0" encoding="utf-8"?>
<formControlPr xmlns="http://schemas.microsoft.com/office/spreadsheetml/2009/9/main" objectType="CheckBox" fmlaLink="#REF!"/>
</file>

<file path=xl/ctrlProps/ctrlProp67.xml><?xml version="1.0" encoding="utf-8"?>
<formControlPr xmlns="http://schemas.microsoft.com/office/spreadsheetml/2009/9/main" objectType="CheckBox" fmlaLink="kombinace_5!$H$1" lockText="1"/>
</file>

<file path=xl/ctrlProps/ctrlProp68.xml><?xml version="1.0" encoding="utf-8"?>
<formControlPr xmlns="http://schemas.microsoft.com/office/spreadsheetml/2009/9/main" objectType="CheckBox" fmlaLink="#REF!"/>
</file>

<file path=xl/ctrlProps/ctrlProp69.xml><?xml version="1.0" encoding="utf-8"?>
<formControlPr xmlns="http://schemas.microsoft.com/office/spreadsheetml/2009/9/main" objectType="CheckBox" fmlaLink="kombinace_1!$H$1" lockText="1"/>
</file>

<file path=xl/ctrlProps/ctrlProp7.xml><?xml version="1.0" encoding="utf-8"?>
<formControlPr xmlns="http://schemas.microsoft.com/office/spreadsheetml/2009/9/main" objectType="CheckBox" fmlaLink="#REF!"/>
</file>

<file path=xl/ctrlProps/ctrlProp70.xml><?xml version="1.0" encoding="utf-8"?>
<formControlPr xmlns="http://schemas.microsoft.com/office/spreadsheetml/2009/9/main" objectType="CheckBox" fmlaLink="kombinace_5!$FC$2" lockText="1"/>
</file>

<file path=xl/ctrlProps/ctrlProp71.xml><?xml version="1.0" encoding="utf-8"?>
<formControlPr xmlns="http://schemas.microsoft.com/office/spreadsheetml/2009/9/main" objectType="CheckBox" fmlaLink="#REF!"/>
</file>

<file path=xl/ctrlProps/ctrlProp72.xml><?xml version="1.0" encoding="utf-8"?>
<formControlPr xmlns="http://schemas.microsoft.com/office/spreadsheetml/2009/9/main" objectType="CheckBox" fmlaLink="kombinace_1!$H$1" lockText="1"/>
</file>

<file path=xl/ctrlProps/ctrlProp73.xml><?xml version="1.0" encoding="utf-8"?>
<formControlPr xmlns="http://schemas.microsoft.com/office/spreadsheetml/2009/9/main" objectType="CheckBox" fmlaLink="#REF!"/>
</file>

<file path=xl/ctrlProps/ctrlProp74.xml><?xml version="1.0" encoding="utf-8"?>
<formControlPr xmlns="http://schemas.microsoft.com/office/spreadsheetml/2009/9/main" objectType="CheckBox" fmlaLink="kombinace_5!$H$1" lockText="1"/>
</file>

<file path=xl/ctrlProps/ctrlProp75.xml><?xml version="1.0" encoding="utf-8"?>
<formControlPr xmlns="http://schemas.microsoft.com/office/spreadsheetml/2009/9/main" objectType="CheckBox" fmlaLink="#REF!"/>
</file>

<file path=xl/ctrlProps/ctrlProp76.xml><?xml version="1.0" encoding="utf-8"?>
<formControlPr xmlns="http://schemas.microsoft.com/office/spreadsheetml/2009/9/main" objectType="CheckBox" fmlaLink="kombinace_5!$H$1" lockText="1"/>
</file>

<file path=xl/ctrlProps/ctrlProp77.xml><?xml version="1.0" encoding="utf-8"?>
<formControlPr xmlns="http://schemas.microsoft.com/office/spreadsheetml/2009/9/main" objectType="CheckBox" fmlaLink="#REF!"/>
</file>

<file path=xl/ctrlProps/ctrlProp78.xml><?xml version="1.0" encoding="utf-8"?>
<formControlPr xmlns="http://schemas.microsoft.com/office/spreadsheetml/2009/9/main" objectType="CheckBox" fmlaLink="kombinace_2!$H$1" lockText="1"/>
</file>

<file path=xl/ctrlProps/ctrlProp79.xml><?xml version="1.0" encoding="utf-8"?>
<formControlPr xmlns="http://schemas.microsoft.com/office/spreadsheetml/2009/9/main" objectType="CheckBox" fmlaLink="#REF!"/>
</file>

<file path=xl/ctrlProps/ctrlProp8.xml><?xml version="1.0" encoding="utf-8"?>
<formControlPr xmlns="http://schemas.microsoft.com/office/spreadsheetml/2009/9/main" objectType="CheckBox" fmlaLink="kombinace_1!$H$1" lockText="1"/>
</file>

<file path=xl/ctrlProps/ctrlProp80.xml><?xml version="1.0" encoding="utf-8"?>
<formControlPr xmlns="http://schemas.microsoft.com/office/spreadsheetml/2009/9/main" objectType="CheckBox" fmlaLink="kombinace_1!$H$1" lockText="1"/>
</file>

<file path=xl/ctrlProps/ctrlProp81.xml><?xml version="1.0" encoding="utf-8"?>
<formControlPr xmlns="http://schemas.microsoft.com/office/spreadsheetml/2009/9/main" objectType="CheckBox" fmlaLink="#REF!"/>
</file>

<file path=xl/ctrlProps/ctrlProp82.xml><?xml version="1.0" encoding="utf-8"?>
<formControlPr xmlns="http://schemas.microsoft.com/office/spreadsheetml/2009/9/main" objectType="CheckBox" fmlaLink="kombinace_1!$H$1" lockText="1"/>
</file>

<file path=xl/ctrlProps/ctrlProp83.xml><?xml version="1.0" encoding="utf-8"?>
<formControlPr xmlns="http://schemas.microsoft.com/office/spreadsheetml/2009/9/main" objectType="CheckBox" fmlaLink="#REF!"/>
</file>

<file path=xl/ctrlProps/ctrlProp84.xml><?xml version="1.0" encoding="utf-8"?>
<formControlPr xmlns="http://schemas.microsoft.com/office/spreadsheetml/2009/9/main" objectType="CheckBox" fmlaLink="kombinace_5!$H$1" lockText="1"/>
</file>

<file path=xl/ctrlProps/ctrlProp85.xml><?xml version="1.0" encoding="utf-8"?>
<formControlPr xmlns="http://schemas.microsoft.com/office/spreadsheetml/2009/9/main" objectType="CheckBox" fmlaLink="#REF!"/>
</file>

<file path=xl/ctrlProps/ctrlProp86.xml><?xml version="1.0" encoding="utf-8"?>
<formControlPr xmlns="http://schemas.microsoft.com/office/spreadsheetml/2009/9/main" objectType="CheckBox" fmlaLink="#REF!"/>
</file>

<file path=xl/ctrlProps/ctrlProp87.xml><?xml version="1.0" encoding="utf-8"?>
<formControlPr xmlns="http://schemas.microsoft.com/office/spreadsheetml/2009/9/main" objectType="CheckBox" fmlaLink="#REF!"/>
</file>

<file path=xl/ctrlProps/ctrlProp88.xml><?xml version="1.0" encoding="utf-8"?>
<formControlPr xmlns="http://schemas.microsoft.com/office/spreadsheetml/2009/9/main" objectType="CheckBox" fmlaLink="#REF!"/>
</file>

<file path=xl/ctrlProps/ctrlProp89.xml><?xml version="1.0" encoding="utf-8"?>
<formControlPr xmlns="http://schemas.microsoft.com/office/spreadsheetml/2009/9/main" objectType="CheckBox" fmlaLink="kombinace_6!$H$1" lockText="1"/>
</file>

<file path=xl/ctrlProps/ctrlProp9.xml><?xml version="1.0" encoding="utf-8"?>
<formControlPr xmlns="http://schemas.microsoft.com/office/spreadsheetml/2009/9/main" objectType="CheckBox" fmlaLink="kombinace_2!$FC$2" lockText="1"/>
</file>

<file path=xl/ctrlProps/ctrlProp90.xml><?xml version="1.0" encoding="utf-8"?>
<formControlPr xmlns="http://schemas.microsoft.com/office/spreadsheetml/2009/9/main" objectType="CheckBox" fmlaLink="kombinace_6!$H$1" lockText="1"/>
</file>

<file path=xl/ctrlProps/ctrlProp91.xml><?xml version="1.0" encoding="utf-8"?>
<formControlPr xmlns="http://schemas.microsoft.com/office/spreadsheetml/2009/9/main" objectType="CheckBox" fmlaLink="#REF!"/>
</file>

<file path=xl/ctrlProps/ctrlProp92.xml><?xml version="1.0" encoding="utf-8"?>
<formControlPr xmlns="http://schemas.microsoft.com/office/spreadsheetml/2009/9/main" objectType="CheckBox" fmlaLink="kombinace_1!$H$1" lockText="1"/>
</file>

<file path=xl/ctrlProps/ctrlProp93.xml><?xml version="1.0" encoding="utf-8"?>
<formControlPr xmlns="http://schemas.microsoft.com/office/spreadsheetml/2009/9/main" objectType="CheckBox" fmlaLink="kombinace_6!$FC$2" lockText="1"/>
</file>

<file path=xl/ctrlProps/ctrlProp94.xml><?xml version="1.0" encoding="utf-8"?>
<formControlPr xmlns="http://schemas.microsoft.com/office/spreadsheetml/2009/9/main" objectType="CheckBox" fmlaLink="#REF!"/>
</file>

<file path=xl/ctrlProps/ctrlProp95.xml><?xml version="1.0" encoding="utf-8"?>
<formControlPr xmlns="http://schemas.microsoft.com/office/spreadsheetml/2009/9/main" objectType="CheckBox" fmlaLink="kombinace_1!$H$1" lockText="1"/>
</file>

<file path=xl/ctrlProps/ctrlProp96.xml><?xml version="1.0" encoding="utf-8"?>
<formControlPr xmlns="http://schemas.microsoft.com/office/spreadsheetml/2009/9/main" objectType="CheckBox" fmlaLink="#REF!"/>
</file>

<file path=xl/ctrlProps/ctrlProp97.xml><?xml version="1.0" encoding="utf-8"?>
<formControlPr xmlns="http://schemas.microsoft.com/office/spreadsheetml/2009/9/main" objectType="CheckBox" fmlaLink="kombinace_5!$H$1" lockText="1"/>
</file>

<file path=xl/ctrlProps/ctrlProp98.xml><?xml version="1.0" encoding="utf-8"?>
<formControlPr xmlns="http://schemas.microsoft.com/office/spreadsheetml/2009/9/main" objectType="CheckBox" fmlaLink="#REF!"/>
</file>

<file path=xl/ctrlProps/ctrlProp99.xml><?xml version="1.0" encoding="utf-8"?>
<formControlPr xmlns="http://schemas.microsoft.com/office/spreadsheetml/2009/9/main" objectType="CheckBox" fmlaLink="kombinace_1!$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24.emf"/><Relationship Id="rId3" Type="http://schemas.openxmlformats.org/officeDocument/2006/relationships/image" Target="../media/image14.emf"/><Relationship Id="rId7" Type="http://schemas.openxmlformats.org/officeDocument/2006/relationships/image" Target="../media/image18.emf"/><Relationship Id="rId12" Type="http://schemas.openxmlformats.org/officeDocument/2006/relationships/image" Target="../media/image23.emf"/><Relationship Id="rId17" Type="http://schemas.openxmlformats.org/officeDocument/2006/relationships/image" Target="../media/image28.emf"/><Relationship Id="rId2" Type="http://schemas.openxmlformats.org/officeDocument/2006/relationships/image" Target="../media/image13.emf"/><Relationship Id="rId16" Type="http://schemas.openxmlformats.org/officeDocument/2006/relationships/image" Target="../media/image27.emf"/><Relationship Id="rId1" Type="http://schemas.openxmlformats.org/officeDocument/2006/relationships/image" Target="../media/image4.png"/><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5" Type="http://schemas.openxmlformats.org/officeDocument/2006/relationships/image" Target="../media/image26.emf"/><Relationship Id="rId10" Type="http://schemas.openxmlformats.org/officeDocument/2006/relationships/image" Target="../media/image21.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s>
</file>

<file path=xl/drawings/_rels/drawing14.xml.rels><?xml version="1.0" encoding="UTF-8" standalone="yes"?>
<Relationships xmlns="http://schemas.openxmlformats.org/package/2006/relationships"><Relationship Id="rId13" Type="http://schemas.openxmlformats.org/officeDocument/2006/relationships/image" Target="../media/image56.jpeg"/><Relationship Id="rId18" Type="http://schemas.openxmlformats.org/officeDocument/2006/relationships/image" Target="../media/image61.jpeg"/><Relationship Id="rId26" Type="http://schemas.openxmlformats.org/officeDocument/2006/relationships/image" Target="../media/image69.jpeg"/><Relationship Id="rId3" Type="http://schemas.openxmlformats.org/officeDocument/2006/relationships/image" Target="../media/image46.jpeg"/><Relationship Id="rId21" Type="http://schemas.openxmlformats.org/officeDocument/2006/relationships/image" Target="../media/image64.jpeg"/><Relationship Id="rId7" Type="http://schemas.openxmlformats.org/officeDocument/2006/relationships/image" Target="../media/image50.jpeg"/><Relationship Id="rId12" Type="http://schemas.openxmlformats.org/officeDocument/2006/relationships/image" Target="../media/image55.jpeg"/><Relationship Id="rId17" Type="http://schemas.openxmlformats.org/officeDocument/2006/relationships/image" Target="../media/image60.jpeg"/><Relationship Id="rId25" Type="http://schemas.openxmlformats.org/officeDocument/2006/relationships/image" Target="../media/image68.jpeg"/><Relationship Id="rId33" Type="http://schemas.openxmlformats.org/officeDocument/2006/relationships/image" Target="../media/image76.jpeg"/><Relationship Id="rId2" Type="http://schemas.openxmlformats.org/officeDocument/2006/relationships/image" Target="../media/image45.jpeg"/><Relationship Id="rId16" Type="http://schemas.openxmlformats.org/officeDocument/2006/relationships/image" Target="../media/image59.jpeg"/><Relationship Id="rId20" Type="http://schemas.openxmlformats.org/officeDocument/2006/relationships/image" Target="../media/image63.jpeg"/><Relationship Id="rId29" Type="http://schemas.openxmlformats.org/officeDocument/2006/relationships/image" Target="../media/image72.jpeg"/><Relationship Id="rId1" Type="http://schemas.openxmlformats.org/officeDocument/2006/relationships/image" Target="../media/image4.png"/><Relationship Id="rId6" Type="http://schemas.openxmlformats.org/officeDocument/2006/relationships/image" Target="../media/image49.jpeg"/><Relationship Id="rId11" Type="http://schemas.openxmlformats.org/officeDocument/2006/relationships/image" Target="../media/image54.jpeg"/><Relationship Id="rId24" Type="http://schemas.openxmlformats.org/officeDocument/2006/relationships/image" Target="../media/image67.jpeg"/><Relationship Id="rId32" Type="http://schemas.openxmlformats.org/officeDocument/2006/relationships/image" Target="../media/image75.png"/><Relationship Id="rId5" Type="http://schemas.openxmlformats.org/officeDocument/2006/relationships/image" Target="../media/image48.jpeg"/><Relationship Id="rId15" Type="http://schemas.openxmlformats.org/officeDocument/2006/relationships/image" Target="../media/image58.jpeg"/><Relationship Id="rId23" Type="http://schemas.openxmlformats.org/officeDocument/2006/relationships/image" Target="../media/image66.jpeg"/><Relationship Id="rId28" Type="http://schemas.openxmlformats.org/officeDocument/2006/relationships/image" Target="../media/image71.jpeg"/><Relationship Id="rId10" Type="http://schemas.openxmlformats.org/officeDocument/2006/relationships/image" Target="../media/image53.jpeg"/><Relationship Id="rId19" Type="http://schemas.openxmlformats.org/officeDocument/2006/relationships/image" Target="../media/image62.jpeg"/><Relationship Id="rId31" Type="http://schemas.openxmlformats.org/officeDocument/2006/relationships/image" Target="../media/image74.jpeg"/><Relationship Id="rId4" Type="http://schemas.openxmlformats.org/officeDocument/2006/relationships/image" Target="../media/image47.jpeg"/><Relationship Id="rId9" Type="http://schemas.openxmlformats.org/officeDocument/2006/relationships/image" Target="../media/image52.jpeg"/><Relationship Id="rId14" Type="http://schemas.openxmlformats.org/officeDocument/2006/relationships/image" Target="../media/image57.jpeg"/><Relationship Id="rId22" Type="http://schemas.openxmlformats.org/officeDocument/2006/relationships/image" Target="../media/image65.jpeg"/><Relationship Id="rId27" Type="http://schemas.openxmlformats.org/officeDocument/2006/relationships/image" Target="../media/image70.jpeg"/><Relationship Id="rId30" Type="http://schemas.openxmlformats.org/officeDocument/2006/relationships/image" Target="../media/image73.jpeg"/><Relationship Id="rId8" Type="http://schemas.openxmlformats.org/officeDocument/2006/relationships/image" Target="../media/image51.jpeg"/></Relationships>
</file>

<file path=xl/drawings/_rels/drawing15.xml.rels><?xml version="1.0" encoding="UTF-8" standalone="yes"?>
<Relationships xmlns="http://schemas.openxmlformats.org/package/2006/relationships"><Relationship Id="rId13" Type="http://schemas.openxmlformats.org/officeDocument/2006/relationships/image" Target="../media/image88.jpeg"/><Relationship Id="rId18" Type="http://schemas.openxmlformats.org/officeDocument/2006/relationships/image" Target="../media/image93.jpeg"/><Relationship Id="rId26" Type="http://schemas.openxmlformats.org/officeDocument/2006/relationships/image" Target="../media/image101.png"/><Relationship Id="rId3" Type="http://schemas.openxmlformats.org/officeDocument/2006/relationships/image" Target="../media/image4.png"/><Relationship Id="rId21" Type="http://schemas.openxmlformats.org/officeDocument/2006/relationships/image" Target="../media/image96.png"/><Relationship Id="rId7" Type="http://schemas.openxmlformats.org/officeDocument/2006/relationships/image" Target="../media/image82.png"/><Relationship Id="rId12" Type="http://schemas.openxmlformats.org/officeDocument/2006/relationships/image" Target="../media/image87.jpeg"/><Relationship Id="rId17" Type="http://schemas.openxmlformats.org/officeDocument/2006/relationships/image" Target="../media/image92.jpeg"/><Relationship Id="rId25" Type="http://schemas.openxmlformats.org/officeDocument/2006/relationships/image" Target="../media/image100.png"/><Relationship Id="rId33" Type="http://schemas.openxmlformats.org/officeDocument/2006/relationships/image" Target="../media/image108.png"/><Relationship Id="rId2" Type="http://schemas.openxmlformats.org/officeDocument/2006/relationships/image" Target="../media/image78.png"/><Relationship Id="rId16" Type="http://schemas.openxmlformats.org/officeDocument/2006/relationships/image" Target="../media/image91.jpeg"/><Relationship Id="rId20" Type="http://schemas.openxmlformats.org/officeDocument/2006/relationships/image" Target="../media/image95.png"/><Relationship Id="rId29" Type="http://schemas.openxmlformats.org/officeDocument/2006/relationships/image" Target="../media/image104.png"/><Relationship Id="rId1" Type="http://schemas.openxmlformats.org/officeDocument/2006/relationships/image" Target="../media/image77.png"/><Relationship Id="rId6" Type="http://schemas.openxmlformats.org/officeDocument/2006/relationships/image" Target="../media/image81.png"/><Relationship Id="rId11" Type="http://schemas.openxmlformats.org/officeDocument/2006/relationships/image" Target="../media/image86.jpeg"/><Relationship Id="rId24" Type="http://schemas.openxmlformats.org/officeDocument/2006/relationships/image" Target="../media/image99.png"/><Relationship Id="rId32" Type="http://schemas.openxmlformats.org/officeDocument/2006/relationships/image" Target="../media/image107.png"/><Relationship Id="rId5" Type="http://schemas.openxmlformats.org/officeDocument/2006/relationships/image" Target="../media/image80.jpeg"/><Relationship Id="rId15" Type="http://schemas.openxmlformats.org/officeDocument/2006/relationships/image" Target="../media/image90.jpeg"/><Relationship Id="rId23" Type="http://schemas.openxmlformats.org/officeDocument/2006/relationships/image" Target="../media/image98.png"/><Relationship Id="rId28" Type="http://schemas.openxmlformats.org/officeDocument/2006/relationships/image" Target="../media/image103.png"/><Relationship Id="rId10" Type="http://schemas.openxmlformats.org/officeDocument/2006/relationships/image" Target="../media/image85.jpeg"/><Relationship Id="rId19" Type="http://schemas.openxmlformats.org/officeDocument/2006/relationships/image" Target="../media/image94.png"/><Relationship Id="rId31" Type="http://schemas.openxmlformats.org/officeDocument/2006/relationships/image" Target="../media/image106.png"/><Relationship Id="rId4" Type="http://schemas.openxmlformats.org/officeDocument/2006/relationships/image" Target="../media/image79.jpeg"/><Relationship Id="rId9" Type="http://schemas.openxmlformats.org/officeDocument/2006/relationships/image" Target="../media/image84.jpeg"/><Relationship Id="rId14" Type="http://schemas.openxmlformats.org/officeDocument/2006/relationships/image" Target="../media/image89.jpeg"/><Relationship Id="rId22" Type="http://schemas.openxmlformats.org/officeDocument/2006/relationships/image" Target="../media/image97.png"/><Relationship Id="rId27" Type="http://schemas.openxmlformats.org/officeDocument/2006/relationships/image" Target="../media/image102.png"/><Relationship Id="rId30" Type="http://schemas.openxmlformats.org/officeDocument/2006/relationships/image" Target="../media/image105.png"/><Relationship Id="rId8" Type="http://schemas.openxmlformats.org/officeDocument/2006/relationships/image" Target="../media/image83.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16.emf"/><Relationship Id="rId3" Type="http://schemas.openxmlformats.org/officeDocument/2006/relationships/image" Target="../media/image111.emf"/><Relationship Id="rId7" Type="http://schemas.openxmlformats.org/officeDocument/2006/relationships/image" Target="../media/image115.emf"/><Relationship Id="rId2" Type="http://schemas.openxmlformats.org/officeDocument/2006/relationships/image" Target="../media/image110.emf"/><Relationship Id="rId1" Type="http://schemas.openxmlformats.org/officeDocument/2006/relationships/image" Target="../media/image109.emf"/><Relationship Id="rId6" Type="http://schemas.openxmlformats.org/officeDocument/2006/relationships/image" Target="../media/image114.emf"/><Relationship Id="rId5" Type="http://schemas.openxmlformats.org/officeDocument/2006/relationships/image" Target="../media/image113.emf"/><Relationship Id="rId10" Type="http://schemas.openxmlformats.org/officeDocument/2006/relationships/image" Target="../media/image118.emf"/><Relationship Id="rId4" Type="http://schemas.openxmlformats.org/officeDocument/2006/relationships/image" Target="../media/image112.emf"/><Relationship Id="rId9" Type="http://schemas.openxmlformats.org/officeDocument/2006/relationships/image" Target="../media/image1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vmlDrawing11.vml.rels><?xml version="1.0" encoding="UTF-8" standalone="yes"?>
<Relationships xmlns="http://schemas.openxmlformats.org/package/2006/relationships"><Relationship Id="rId8" Type="http://schemas.openxmlformats.org/officeDocument/2006/relationships/image" Target="../media/image36.emf"/><Relationship Id="rId13" Type="http://schemas.openxmlformats.org/officeDocument/2006/relationships/image" Target="../media/image41.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6" Type="http://schemas.openxmlformats.org/officeDocument/2006/relationships/image" Target="../media/image44.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5" Type="http://schemas.openxmlformats.org/officeDocument/2006/relationships/image" Target="../media/image4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 Id="rId14" Type="http://schemas.openxmlformats.org/officeDocument/2006/relationships/image" Target="../media/image42.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26.emf"/><Relationship Id="rId3" Type="http://schemas.openxmlformats.org/officeDocument/2006/relationships/image" Target="../media/image121.emf"/><Relationship Id="rId7" Type="http://schemas.openxmlformats.org/officeDocument/2006/relationships/image" Target="../media/image125.emf"/><Relationship Id="rId2" Type="http://schemas.openxmlformats.org/officeDocument/2006/relationships/image" Target="../media/image120.emf"/><Relationship Id="rId1" Type="http://schemas.openxmlformats.org/officeDocument/2006/relationships/image" Target="../media/image119.emf"/><Relationship Id="rId6" Type="http://schemas.openxmlformats.org/officeDocument/2006/relationships/image" Target="../media/image124.emf"/><Relationship Id="rId5" Type="http://schemas.openxmlformats.org/officeDocument/2006/relationships/image" Target="../media/image123.emf"/><Relationship Id="rId10" Type="http://schemas.openxmlformats.org/officeDocument/2006/relationships/image" Target="../media/image128.emf"/><Relationship Id="rId4" Type="http://schemas.openxmlformats.org/officeDocument/2006/relationships/image" Target="../media/image122.emf"/><Relationship Id="rId9" Type="http://schemas.openxmlformats.org/officeDocument/2006/relationships/image" Target="../media/image1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19050</xdr:colOff>
      <xdr:row>36</xdr:row>
      <xdr:rowOff>19050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xdr:row>
      <xdr:rowOff>123825</xdr:rowOff>
    </xdr:from>
    <xdr:to>
      <xdr:col>21</xdr:col>
      <xdr:colOff>95250</xdr:colOff>
      <xdr:row>22</xdr:row>
      <xdr:rowOff>47625</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1714500"/>
          <a:ext cx="21431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23</xdr:row>
      <xdr:rowOff>28575</xdr:rowOff>
    </xdr:from>
    <xdr:to>
      <xdr:col>21</xdr:col>
      <xdr:colOff>95250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3771900"/>
          <a:ext cx="21431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19050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106680</xdr:rowOff>
    </xdr:from>
    <xdr:to>
      <xdr:col>6</xdr:col>
      <xdr:colOff>404175</xdr:colOff>
      <xdr:row>5</xdr:row>
      <xdr:rowOff>80130</xdr:rowOff>
    </xdr:to>
    <xdr:pic>
      <xdr:nvPicPr>
        <xdr:cNvPr id="2" name="Obrázek 1">
          <a:extLst>
            <a:ext uri="{FF2B5EF4-FFF2-40B4-BE49-F238E27FC236}">
              <a16:creationId xmlns:a16="http://schemas.microsoft.com/office/drawing/2014/main" id="{D00E6FDB-EF10-C9AD-C6E3-72221F6A7AB7}"/>
            </a:ext>
          </a:extLst>
        </xdr:cNvPr>
        <xdr:cNvPicPr>
          <a:picLocks noChangeAspect="1"/>
        </xdr:cNvPicPr>
      </xdr:nvPicPr>
      <xdr:blipFill>
        <a:blip xmlns:r="http://schemas.openxmlformats.org/officeDocument/2006/relationships" r:embed="rId8"/>
        <a:stretch>
          <a:fillRect/>
        </a:stretch>
      </xdr:blipFill>
      <xdr:spPr>
        <a:xfrm>
          <a:off x="342900" y="106680"/>
          <a:ext cx="2255835" cy="8573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334849" name="Check Box 1967" hidden="1">
              <a:extLst>
                <a:ext uri="{63B3BB69-23CF-44E3-9099-C40C66FF867C}">
                  <a14:compatExt spid="_x0000_s334849"/>
                </a:ext>
                <a:ext uri="{FF2B5EF4-FFF2-40B4-BE49-F238E27FC236}">
                  <a16:creationId xmlns:a16="http://schemas.microsoft.com/office/drawing/2014/main" id="{00000000-0008-0000-1000-0000011C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0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905" name="Check Box 57" hidden="1">
              <a:extLst>
                <a:ext uri="{63B3BB69-23CF-44E3-9099-C40C66FF867C}">
                  <a14:compatExt spid="_x0000_s334905"/>
                </a:ext>
                <a:ext uri="{FF2B5EF4-FFF2-40B4-BE49-F238E27FC236}">
                  <a16:creationId xmlns:a16="http://schemas.microsoft.com/office/drawing/2014/main" id="{00000000-0008-0000-1000-00003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496" name="Check Box 1967" hidden="1">
              <a:extLst>
                <a:ext uri="{63B3BB69-23CF-44E3-9099-C40C66FF867C}">
                  <a14:compatExt spid="_x0000_s785496"/>
                </a:ext>
                <a:ext uri="{FF2B5EF4-FFF2-40B4-BE49-F238E27FC236}">
                  <a16:creationId xmlns:a16="http://schemas.microsoft.com/office/drawing/2014/main" id="{00000000-0008-0000-1000-000058FC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5497" name="Check Box 1113" hidden="1">
              <a:extLst>
                <a:ext uri="{63B3BB69-23CF-44E3-9099-C40C66FF867C}">
                  <a14:compatExt spid="_x0000_s785497"/>
                </a:ext>
                <a:ext uri="{FF2B5EF4-FFF2-40B4-BE49-F238E27FC236}">
                  <a16:creationId xmlns:a16="http://schemas.microsoft.com/office/drawing/2014/main" id="{00000000-0008-0000-1000-000059F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95250</xdr:rowOff>
        </xdr:from>
        <xdr:to>
          <xdr:col>7</xdr:col>
          <xdr:colOff>247650</xdr:colOff>
          <xdr:row>7</xdr:row>
          <xdr:rowOff>314325</xdr:rowOff>
        </xdr:to>
        <xdr:sp macro="" textlink="">
          <xdr:nvSpPr>
            <xdr:cNvPr id="785498" name="Check Box 1114" hidden="1">
              <a:extLst>
                <a:ext uri="{63B3BB69-23CF-44E3-9099-C40C66FF867C}">
                  <a14:compatExt spid="_x0000_s785498"/>
                </a:ext>
                <a:ext uri="{FF2B5EF4-FFF2-40B4-BE49-F238E27FC236}">
                  <a16:creationId xmlns:a16="http://schemas.microsoft.com/office/drawing/2014/main" id="{00000000-0008-0000-1000-00005AF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609" name="Check Box 1967" hidden="1">
              <a:extLst>
                <a:ext uri="{63B3BB69-23CF-44E3-9099-C40C66FF867C}">
                  <a14:compatExt spid="_x0000_s785609"/>
                </a:ext>
                <a:ext uri="{FF2B5EF4-FFF2-40B4-BE49-F238E27FC236}">
                  <a16:creationId xmlns:a16="http://schemas.microsoft.com/office/drawing/2014/main" id="{00000000-0008-0000-1000-0000C9FC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5610" name="Check Box 1226" hidden="1">
              <a:extLst>
                <a:ext uri="{63B3BB69-23CF-44E3-9099-C40C66FF867C}">
                  <a14:compatExt spid="_x0000_s785610"/>
                </a:ext>
                <a:ext uri="{FF2B5EF4-FFF2-40B4-BE49-F238E27FC236}">
                  <a16:creationId xmlns:a16="http://schemas.microsoft.com/office/drawing/2014/main" id="{00000000-0008-0000-1000-0000CAF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909161" name="Obrázek 7">
          <a:extLst>
            <a:ext uri="{FF2B5EF4-FFF2-40B4-BE49-F238E27FC236}">
              <a16:creationId xmlns:a16="http://schemas.microsoft.com/office/drawing/2014/main" id="{748BBE2C-F679-432A-E6E5-0853467A9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19" name="Check Box 1967" hidden="1">
              <a:extLst>
                <a:ext uri="{63B3BB69-23CF-44E3-9099-C40C66FF867C}">
                  <a14:compatExt spid="_x0000_s786119"/>
                </a:ext>
                <a:ext uri="{FF2B5EF4-FFF2-40B4-BE49-F238E27FC236}">
                  <a16:creationId xmlns:a16="http://schemas.microsoft.com/office/drawing/2014/main" id="{00000000-0008-0000-1000-0000C7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6120" name="Check Box 1736" hidden="1">
              <a:extLst>
                <a:ext uri="{63B3BB69-23CF-44E3-9099-C40C66FF867C}">
                  <a14:compatExt spid="_x0000_s786120"/>
                </a:ext>
                <a:ext uri="{FF2B5EF4-FFF2-40B4-BE49-F238E27FC236}">
                  <a16:creationId xmlns:a16="http://schemas.microsoft.com/office/drawing/2014/main" id="{00000000-0008-0000-1000-0000C8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21" name="Check Box 1967" hidden="1">
              <a:extLst>
                <a:ext uri="{63B3BB69-23CF-44E3-9099-C40C66FF867C}">
                  <a14:compatExt spid="_x0000_s786121"/>
                </a:ext>
                <a:ext uri="{FF2B5EF4-FFF2-40B4-BE49-F238E27FC236}">
                  <a16:creationId xmlns:a16="http://schemas.microsoft.com/office/drawing/2014/main" id="{00000000-0008-0000-1000-0000C9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6122" name="Check Box 1738" hidden="1">
              <a:extLst>
                <a:ext uri="{63B3BB69-23CF-44E3-9099-C40C66FF867C}">
                  <a14:compatExt spid="_x0000_s786122"/>
                </a:ext>
                <a:ext uri="{FF2B5EF4-FFF2-40B4-BE49-F238E27FC236}">
                  <a16:creationId xmlns:a16="http://schemas.microsoft.com/office/drawing/2014/main" id="{00000000-0008-0000-1000-0000CA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24" name="Check Box 1967" hidden="1">
              <a:extLst>
                <a:ext uri="{63B3BB69-23CF-44E3-9099-C40C66FF867C}">
                  <a14:compatExt spid="_x0000_s786124"/>
                </a:ext>
                <a:ext uri="{FF2B5EF4-FFF2-40B4-BE49-F238E27FC236}">
                  <a16:creationId xmlns:a16="http://schemas.microsoft.com/office/drawing/2014/main" id="{00000000-0008-0000-1000-0000CC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6125" name="Check Box 1741" hidden="1">
              <a:extLst>
                <a:ext uri="{63B3BB69-23CF-44E3-9099-C40C66FF867C}">
                  <a14:compatExt spid="_x0000_s786125"/>
                </a:ext>
                <a:ext uri="{FF2B5EF4-FFF2-40B4-BE49-F238E27FC236}">
                  <a16:creationId xmlns:a16="http://schemas.microsoft.com/office/drawing/2014/main" id="{00000000-0008-0000-1000-0000CD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909162" name="Obrázek 7">
          <a:extLst>
            <a:ext uri="{FF2B5EF4-FFF2-40B4-BE49-F238E27FC236}">
              <a16:creationId xmlns:a16="http://schemas.microsoft.com/office/drawing/2014/main" id="{63E34ACC-575F-BE27-5B92-F234194DB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26" name="Check Box 1967" hidden="1">
              <a:extLst>
                <a:ext uri="{63B3BB69-23CF-44E3-9099-C40C66FF867C}">
                  <a14:compatExt spid="_x0000_s786126"/>
                </a:ext>
                <a:ext uri="{FF2B5EF4-FFF2-40B4-BE49-F238E27FC236}">
                  <a16:creationId xmlns:a16="http://schemas.microsoft.com/office/drawing/2014/main" id="{00000000-0008-0000-1000-0000CE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6127" name="Check Box 1743" hidden="1">
              <a:extLst>
                <a:ext uri="{63B3BB69-23CF-44E3-9099-C40C66FF867C}">
                  <a14:compatExt spid="_x0000_s786127"/>
                </a:ext>
                <a:ext uri="{FF2B5EF4-FFF2-40B4-BE49-F238E27FC236}">
                  <a16:creationId xmlns:a16="http://schemas.microsoft.com/office/drawing/2014/main" id="{00000000-0008-0000-1000-0000CF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909163" name="Obrázek 7">
          <a:extLst>
            <a:ext uri="{FF2B5EF4-FFF2-40B4-BE49-F238E27FC236}">
              <a16:creationId xmlns:a16="http://schemas.microsoft.com/office/drawing/2014/main" id="{3BF03209-45B2-7B32-6F19-94F01A8A0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36" name="Check Box 1967" hidden="1">
              <a:extLst>
                <a:ext uri="{63B3BB69-23CF-44E3-9099-C40C66FF867C}">
                  <a14:compatExt spid="_x0000_s786136"/>
                </a:ext>
                <a:ext uri="{FF2B5EF4-FFF2-40B4-BE49-F238E27FC236}">
                  <a16:creationId xmlns:a16="http://schemas.microsoft.com/office/drawing/2014/main" id="{00000000-0008-0000-1000-0000D8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6137" name="Check Box 1753" hidden="1">
              <a:extLst>
                <a:ext uri="{63B3BB69-23CF-44E3-9099-C40C66FF867C}">
                  <a14:compatExt spid="_x0000_s786137"/>
                </a:ext>
                <a:ext uri="{FF2B5EF4-FFF2-40B4-BE49-F238E27FC236}">
                  <a16:creationId xmlns:a16="http://schemas.microsoft.com/office/drawing/2014/main" id="{00000000-0008-0000-1000-0000D9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909164" name="Obrázek 7">
          <a:extLst>
            <a:ext uri="{FF2B5EF4-FFF2-40B4-BE49-F238E27FC236}">
              <a16:creationId xmlns:a16="http://schemas.microsoft.com/office/drawing/2014/main" id="{0C99E858-25C2-E2C5-E687-AD43A2B9D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139" name="Check Box 1967" hidden="1">
              <a:extLst>
                <a:ext uri="{63B3BB69-23CF-44E3-9099-C40C66FF867C}">
                  <a14:compatExt spid="_x0000_s786139"/>
                </a:ext>
                <a:ext uri="{FF2B5EF4-FFF2-40B4-BE49-F238E27FC236}">
                  <a16:creationId xmlns:a16="http://schemas.microsoft.com/office/drawing/2014/main" id="{00000000-0008-0000-1000-0000DBF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6140" name="Check Box 1756" hidden="1">
              <a:extLst>
                <a:ext uri="{63B3BB69-23CF-44E3-9099-C40C66FF867C}">
                  <a14:compatExt spid="_x0000_s786140"/>
                </a:ext>
                <a:ext uri="{FF2B5EF4-FFF2-40B4-BE49-F238E27FC236}">
                  <a16:creationId xmlns:a16="http://schemas.microsoft.com/office/drawing/2014/main" id="{00000000-0008-0000-1000-0000DCF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2" name="Obrázek 7">
          <a:extLst>
            <a:ext uri="{FF2B5EF4-FFF2-40B4-BE49-F238E27FC236}">
              <a16:creationId xmlns:a16="http://schemas.microsoft.com/office/drawing/2014/main" id="{D567A953-1A09-4F74-9B07-DFFF920E9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125437</xdr:colOff>
          <xdr:row>16</xdr:row>
          <xdr:rowOff>143933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3787"/>
                </a:ext>
              </a:extLst>
            </xdr:cNvPicPr>
          </xdr:nvPicPr>
          <xdr:blipFill>
            <a:blip xmlns:r="http://schemas.openxmlformats.org/officeDocument/2006/relationships" r:embed="rId2"/>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222250</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3788"/>
                </a:ext>
              </a:extLst>
            </xdr:cNvPicPr>
          </xdr:nvPicPr>
          <xdr:blipFill>
            <a:blip xmlns:r="http://schemas.openxmlformats.org/officeDocument/2006/relationships" r:embed="rId2"/>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427" name="Check Box 1967" hidden="1">
              <a:extLst>
                <a:ext uri="{63B3BB69-23CF-44E3-9099-C40C66FF867C}">
                  <a14:compatExt spid="_x0000_s786427"/>
                </a:ext>
                <a:ext uri="{FF2B5EF4-FFF2-40B4-BE49-F238E27FC236}">
                  <a16:creationId xmlns:a16="http://schemas.microsoft.com/office/drawing/2014/main" id="{00000000-0008-0000-1000-0000FBFF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6428" name="Check Box 2044" hidden="1">
              <a:extLst>
                <a:ext uri="{63B3BB69-23CF-44E3-9099-C40C66FF867C}">
                  <a14:compatExt spid="_x0000_s786428"/>
                </a:ext>
                <a:ext uri="{FF2B5EF4-FFF2-40B4-BE49-F238E27FC236}">
                  <a16:creationId xmlns:a16="http://schemas.microsoft.com/office/drawing/2014/main" id="{00000000-0008-0000-1000-0000FCFF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6429" name="Check Box 2045" hidden="1">
              <a:extLst>
                <a:ext uri="{63B3BB69-23CF-44E3-9099-C40C66FF867C}">
                  <a14:compatExt spid="_x0000_s786429"/>
                </a:ext>
                <a:ext uri="{FF2B5EF4-FFF2-40B4-BE49-F238E27FC236}">
                  <a16:creationId xmlns:a16="http://schemas.microsoft.com/office/drawing/2014/main" id="{00000000-0008-0000-1000-0000FDFF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6430" name="Check Box 2046" hidden="1">
              <a:extLst>
                <a:ext uri="{63B3BB69-23CF-44E3-9099-C40C66FF867C}">
                  <a14:compatExt spid="_x0000_s786430"/>
                </a:ext>
                <a:ext uri="{FF2B5EF4-FFF2-40B4-BE49-F238E27FC236}">
                  <a16:creationId xmlns:a16="http://schemas.microsoft.com/office/drawing/2014/main" id="{00000000-0008-0000-1000-0000FEFF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3344" name="Check Box 2048" hidden="1">
              <a:extLst>
                <a:ext uri="{63B3BB69-23CF-44E3-9099-C40C66FF867C}">
                  <a14:compatExt spid="_x0000_s953344"/>
                </a:ext>
                <a:ext uri="{FF2B5EF4-FFF2-40B4-BE49-F238E27FC236}">
                  <a16:creationId xmlns:a16="http://schemas.microsoft.com/office/drawing/2014/main" id="{00000000-0008-0000-1000-0000008C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953345" name="Check Box 2049" hidden="1">
              <a:extLst>
                <a:ext uri="{63B3BB69-23CF-44E3-9099-C40C66FF867C}">
                  <a14:compatExt spid="_x0000_s953345"/>
                </a:ext>
                <a:ext uri="{FF2B5EF4-FFF2-40B4-BE49-F238E27FC236}">
                  <a16:creationId xmlns:a16="http://schemas.microsoft.com/office/drawing/2014/main" id="{00000000-0008-0000-1000-0000018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5" name="Obrázek 7">
          <a:extLst>
            <a:ext uri="{FF2B5EF4-FFF2-40B4-BE49-F238E27FC236}">
              <a16:creationId xmlns:a16="http://schemas.microsoft.com/office/drawing/2014/main" id="{610D39CC-2647-42CE-ABD5-5E1908555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3346" name="Check Box 2050" hidden="1">
              <a:extLst>
                <a:ext uri="{63B3BB69-23CF-44E3-9099-C40C66FF867C}">
                  <a14:compatExt spid="_x0000_s953346"/>
                </a:ext>
                <a:ext uri="{FF2B5EF4-FFF2-40B4-BE49-F238E27FC236}">
                  <a16:creationId xmlns:a16="http://schemas.microsoft.com/office/drawing/2014/main" id="{00000000-0008-0000-1000-0000028C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953347" name="Check Box 2051" hidden="1">
              <a:extLst>
                <a:ext uri="{63B3BB69-23CF-44E3-9099-C40C66FF867C}">
                  <a14:compatExt spid="_x0000_s953347"/>
                </a:ext>
                <a:ext uri="{FF2B5EF4-FFF2-40B4-BE49-F238E27FC236}">
                  <a16:creationId xmlns:a16="http://schemas.microsoft.com/office/drawing/2014/main" id="{00000000-0008-0000-1000-0000038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6" name="Obrázek 7">
          <a:extLst>
            <a:ext uri="{FF2B5EF4-FFF2-40B4-BE49-F238E27FC236}">
              <a16:creationId xmlns:a16="http://schemas.microsoft.com/office/drawing/2014/main" id="{CB0A6FF3-7999-4151-AF40-3E9EDDB1B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3348" name="Check Box 2052" hidden="1">
              <a:extLst>
                <a:ext uri="{63B3BB69-23CF-44E3-9099-C40C66FF867C}">
                  <a14:compatExt spid="_x0000_s953348"/>
                </a:ext>
                <a:ext uri="{FF2B5EF4-FFF2-40B4-BE49-F238E27FC236}">
                  <a16:creationId xmlns:a16="http://schemas.microsoft.com/office/drawing/2014/main" id="{00000000-0008-0000-1000-0000048C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7" name="Obrázek 7">
          <a:extLst>
            <a:ext uri="{FF2B5EF4-FFF2-40B4-BE49-F238E27FC236}">
              <a16:creationId xmlns:a16="http://schemas.microsoft.com/office/drawing/2014/main" id="{826D152F-C407-4D11-B5D1-33BF5BDE8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3350" name="Check Box 2054" hidden="1">
              <a:extLst>
                <a:ext uri="{63B3BB69-23CF-44E3-9099-C40C66FF867C}">
                  <a14:compatExt spid="_x0000_s953350"/>
                </a:ext>
                <a:ext uri="{FF2B5EF4-FFF2-40B4-BE49-F238E27FC236}">
                  <a16:creationId xmlns:a16="http://schemas.microsoft.com/office/drawing/2014/main" id="{00000000-0008-0000-1000-0000068C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10" name="Obrázek 7">
          <a:extLst>
            <a:ext uri="{FF2B5EF4-FFF2-40B4-BE49-F238E27FC236}">
              <a16:creationId xmlns:a16="http://schemas.microsoft.com/office/drawing/2014/main" id="{78296B7C-D7E0-4E19-B3BF-113B9325E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3525" name="Check Box 1967" hidden="1">
              <a:extLst>
                <a:ext uri="{63B3BB69-23CF-44E3-9099-C40C66FF867C}">
                  <a14:compatExt spid="_x0000_s953525"/>
                </a:ext>
                <a:ext uri="{FF2B5EF4-FFF2-40B4-BE49-F238E27FC236}">
                  <a16:creationId xmlns:a16="http://schemas.microsoft.com/office/drawing/2014/main" id="{00000000-0008-0000-1000-0000B58C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8" name="Obrázek 7">
          <a:extLst>
            <a:ext uri="{FF2B5EF4-FFF2-40B4-BE49-F238E27FC236}">
              <a16:creationId xmlns:a16="http://schemas.microsoft.com/office/drawing/2014/main" id="{1A8C7800-6D96-4ADB-8C4E-96AAA14D7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2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2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2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2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2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800100</xdr:colOff>
          <xdr:row>0</xdr:row>
          <xdr:rowOff>0</xdr:rowOff>
        </xdr:from>
        <xdr:to>
          <xdr:col>27</xdr:col>
          <xdr:colOff>0</xdr:colOff>
          <xdr:row>2</xdr:row>
          <xdr:rowOff>0</xdr:rowOff>
        </xdr:to>
        <xdr:sp macro="" textlink="">
          <xdr:nvSpPr>
            <xdr:cNvPr id="187393" name="Check Box 1967" hidden="1">
              <a:extLst>
                <a:ext uri="{63B3BB69-23CF-44E3-9099-C40C66FF867C}">
                  <a14:compatExt spid="_x0000_s187393"/>
                </a:ext>
                <a:ext uri="{FF2B5EF4-FFF2-40B4-BE49-F238E27FC236}">
                  <a16:creationId xmlns:a16="http://schemas.microsoft.com/office/drawing/2014/main" id="{00000000-0008-0000-1300-000001DC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257175</xdr:colOff>
      <xdr:row>0</xdr:row>
      <xdr:rowOff>0</xdr:rowOff>
    </xdr:from>
    <xdr:to>
      <xdr:col>2</xdr:col>
      <xdr:colOff>257175</xdr:colOff>
      <xdr:row>7</xdr:row>
      <xdr:rowOff>0</xdr:rowOff>
    </xdr:to>
    <xdr:pic>
      <xdr:nvPicPr>
        <xdr:cNvPr id="867159" name="Obrázek 2">
          <a:extLst>
            <a:ext uri="{FF2B5EF4-FFF2-40B4-BE49-F238E27FC236}">
              <a16:creationId xmlns:a16="http://schemas.microsoft.com/office/drawing/2014/main" id="{6B8B78F2-DD6D-6DFD-D265-16E02D627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0"/>
          <a:ext cx="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28575</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3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4</xdr:col>
      <xdr:colOff>9525</xdr:colOff>
      <xdr:row>3</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0"/>
          <a:ext cx="15240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257175</xdr:colOff>
      <xdr:row>0</xdr:row>
      <xdr:rowOff>0</xdr:rowOff>
    </xdr:from>
    <xdr:to>
      <xdr:col>10</xdr:col>
      <xdr:colOff>123825</xdr:colOff>
      <xdr:row>6</xdr:row>
      <xdr:rowOff>0</xdr:rowOff>
    </xdr:to>
    <xdr:pic>
      <xdr:nvPicPr>
        <xdr:cNvPr id="937905" name="Obrázek 2">
          <a:extLst>
            <a:ext uri="{FF2B5EF4-FFF2-40B4-BE49-F238E27FC236}">
              <a16:creationId xmlns:a16="http://schemas.microsoft.com/office/drawing/2014/main" id="{481EFB27-5D16-0F84-5986-613E164AC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0"/>
          <a:ext cx="2228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25</xdr:col>
          <xdr:colOff>0</xdr:colOff>
          <xdr:row>34</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185989"/>
                </a:ext>
              </a:extLst>
            </xdr:cNvPicPr>
          </xdr:nvPicPr>
          <xdr:blipFill>
            <a:blip xmlns:r="http://schemas.openxmlformats.org/officeDocument/2006/relationships" r:embed="rId2"/>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xdr:row>
          <xdr:rowOff>0</xdr:rowOff>
        </xdr:from>
        <xdr:to>
          <xdr:col>41</xdr:col>
          <xdr:colOff>95250</xdr:colOff>
          <xdr:row>34</xdr:row>
          <xdr:rowOff>142875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185990"/>
                </a:ext>
              </a:extLst>
            </xdr:cNvPicPr>
          </xdr:nvPicPr>
          <xdr:blipFill>
            <a:blip xmlns:r="http://schemas.openxmlformats.org/officeDocument/2006/relationships" r:embed="rId3"/>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152400</xdr:rowOff>
        </xdr:from>
        <xdr:to>
          <xdr:col>9</xdr:col>
          <xdr:colOff>95250</xdr:colOff>
          <xdr:row>26</xdr:row>
          <xdr:rowOff>66675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185991"/>
                </a:ext>
              </a:extLst>
            </xdr:cNvPicPr>
          </xdr:nvPicPr>
          <xdr:blipFill>
            <a:blip xmlns:r="http://schemas.openxmlformats.org/officeDocument/2006/relationships" r:embed="rId4"/>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38</xdr:row>
          <xdr:rowOff>0</xdr:rowOff>
        </xdr:from>
        <xdr:to>
          <xdr:col>25</xdr:col>
          <xdr:colOff>0</xdr:colOff>
          <xdr:row>61</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185992"/>
                </a:ext>
              </a:extLst>
            </xdr:cNvPicPr>
          </xdr:nvPicPr>
          <xdr:blipFill>
            <a:blip xmlns:r="http://schemas.openxmlformats.org/officeDocument/2006/relationships" r:embed="rId5"/>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38</xdr:row>
          <xdr:rowOff>0</xdr:rowOff>
        </xdr:from>
        <xdr:to>
          <xdr:col>41</xdr:col>
          <xdr:colOff>133350</xdr:colOff>
          <xdr:row>61</xdr:row>
          <xdr:rowOff>47625</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185993"/>
                </a:ext>
              </a:extLst>
            </xdr:cNvPicPr>
          </xdr:nvPicPr>
          <xdr:blipFill>
            <a:blip xmlns:r="http://schemas.openxmlformats.org/officeDocument/2006/relationships" r:embed="rId6"/>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161925</xdr:rowOff>
        </xdr:from>
        <xdr:to>
          <xdr:col>9</xdr:col>
          <xdr:colOff>95250</xdr:colOff>
          <xdr:row>53</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185994"/>
                </a:ext>
              </a:extLst>
            </xdr:cNvPicPr>
          </xdr:nvPicPr>
          <xdr:blipFill>
            <a:blip xmlns:r="http://schemas.openxmlformats.org/officeDocument/2006/relationships" r:embed="rId4"/>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65</xdr:row>
          <xdr:rowOff>0</xdr:rowOff>
        </xdr:from>
        <xdr:to>
          <xdr:col>25</xdr:col>
          <xdr:colOff>0</xdr:colOff>
          <xdr:row>88</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185995"/>
                </a:ext>
              </a:extLst>
            </xdr:cNvPicPr>
          </xdr:nvPicPr>
          <xdr:blipFill>
            <a:blip xmlns:r="http://schemas.openxmlformats.org/officeDocument/2006/relationships" r:embed="rId7"/>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65</xdr:row>
          <xdr:rowOff>0</xdr:rowOff>
        </xdr:from>
        <xdr:to>
          <xdr:col>41</xdr:col>
          <xdr:colOff>133350</xdr:colOff>
          <xdr:row>88</xdr:row>
          <xdr:rowOff>47625</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185996"/>
                </a:ext>
              </a:extLst>
            </xdr:cNvPicPr>
          </xdr:nvPicPr>
          <xdr:blipFill>
            <a:blip xmlns:r="http://schemas.openxmlformats.org/officeDocument/2006/relationships" r:embed="rId8"/>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161925</xdr:rowOff>
        </xdr:from>
        <xdr:to>
          <xdr:col>9</xdr:col>
          <xdr:colOff>95250</xdr:colOff>
          <xdr:row>80</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185997"/>
                </a:ext>
              </a:extLst>
            </xdr:cNvPicPr>
          </xdr:nvPicPr>
          <xdr:blipFill>
            <a:blip xmlns:r="http://schemas.openxmlformats.org/officeDocument/2006/relationships" r:embed="rId4"/>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92</xdr:row>
          <xdr:rowOff>0</xdr:rowOff>
        </xdr:from>
        <xdr:to>
          <xdr:col>25</xdr:col>
          <xdr:colOff>0</xdr:colOff>
          <xdr:row>115</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185998"/>
                </a:ext>
              </a:extLst>
            </xdr:cNvPicPr>
          </xdr:nvPicPr>
          <xdr:blipFill>
            <a:blip xmlns:r="http://schemas.openxmlformats.org/officeDocument/2006/relationships" r:embed="rId9"/>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92</xdr:row>
          <xdr:rowOff>0</xdr:rowOff>
        </xdr:from>
        <xdr:to>
          <xdr:col>41</xdr:col>
          <xdr:colOff>133350</xdr:colOff>
          <xdr:row>115</xdr:row>
          <xdr:rowOff>47625</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185999"/>
                </a:ext>
              </a:extLst>
            </xdr:cNvPicPr>
          </xdr:nvPicPr>
          <xdr:blipFill>
            <a:blip xmlns:r="http://schemas.openxmlformats.org/officeDocument/2006/relationships" r:embed="rId10"/>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152400</xdr:rowOff>
        </xdr:from>
        <xdr:to>
          <xdr:col>9</xdr:col>
          <xdr:colOff>95250</xdr:colOff>
          <xdr:row>107</xdr:row>
          <xdr:rowOff>66675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186000"/>
                </a:ext>
              </a:extLst>
            </xdr:cNvPicPr>
          </xdr:nvPicPr>
          <xdr:blipFill>
            <a:blip xmlns:r="http://schemas.openxmlformats.org/officeDocument/2006/relationships" r:embed="rId4"/>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119</xdr:row>
          <xdr:rowOff>0</xdr:rowOff>
        </xdr:from>
        <xdr:to>
          <xdr:col>25</xdr:col>
          <xdr:colOff>0</xdr:colOff>
          <xdr:row>142</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186001"/>
                </a:ext>
              </a:extLst>
            </xdr:cNvPicPr>
          </xdr:nvPicPr>
          <xdr:blipFill>
            <a:blip xmlns:r="http://schemas.openxmlformats.org/officeDocument/2006/relationships" r:embed="rId11"/>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119</xdr:row>
          <xdr:rowOff>0</xdr:rowOff>
        </xdr:from>
        <xdr:to>
          <xdr:col>41</xdr:col>
          <xdr:colOff>133350</xdr:colOff>
          <xdr:row>142</xdr:row>
          <xdr:rowOff>47625</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186002"/>
                </a:ext>
              </a:extLst>
            </xdr:cNvPicPr>
          </xdr:nvPicPr>
          <xdr:blipFill>
            <a:blip xmlns:r="http://schemas.openxmlformats.org/officeDocument/2006/relationships" r:embed="rId12"/>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122</xdr:row>
          <xdr:rowOff>152400</xdr:rowOff>
        </xdr:from>
        <xdr:to>
          <xdr:col>9</xdr:col>
          <xdr:colOff>95250</xdr:colOff>
          <xdr:row>134</xdr:row>
          <xdr:rowOff>66675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186003"/>
                </a:ext>
              </a:extLst>
            </xdr:cNvPicPr>
          </xdr:nvPicPr>
          <xdr:blipFill>
            <a:blip xmlns:r="http://schemas.openxmlformats.org/officeDocument/2006/relationships" r:embed="rId4"/>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146</xdr:row>
          <xdr:rowOff>0</xdr:rowOff>
        </xdr:from>
        <xdr:to>
          <xdr:col>25</xdr:col>
          <xdr:colOff>0</xdr:colOff>
          <xdr:row>169</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186004"/>
                </a:ext>
              </a:extLst>
            </xdr:cNvPicPr>
          </xdr:nvPicPr>
          <xdr:blipFill>
            <a:blip xmlns:r="http://schemas.openxmlformats.org/officeDocument/2006/relationships" r:embed="rId13"/>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146</xdr:row>
          <xdr:rowOff>0</xdr:rowOff>
        </xdr:from>
        <xdr:to>
          <xdr:col>41</xdr:col>
          <xdr:colOff>133350</xdr:colOff>
          <xdr:row>169</xdr:row>
          <xdr:rowOff>47625</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186005"/>
                </a:ext>
              </a:extLst>
            </xdr:cNvPicPr>
          </xdr:nvPicPr>
          <xdr:blipFill>
            <a:blip xmlns:r="http://schemas.openxmlformats.org/officeDocument/2006/relationships" r:embed="rId14"/>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152400</xdr:rowOff>
        </xdr:from>
        <xdr:to>
          <xdr:col>9</xdr:col>
          <xdr:colOff>95250</xdr:colOff>
          <xdr:row>161</xdr:row>
          <xdr:rowOff>66675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186006"/>
                </a:ext>
              </a:extLst>
            </xdr:cNvPicPr>
          </xdr:nvPicPr>
          <xdr:blipFill>
            <a:blip xmlns:r="http://schemas.openxmlformats.org/officeDocument/2006/relationships" r:embed="rId4"/>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25</xdr:col>
          <xdr:colOff>0</xdr:colOff>
          <xdr:row>34</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186007"/>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11</xdr:row>
          <xdr:rowOff>0</xdr:rowOff>
        </xdr:from>
        <xdr:to>
          <xdr:col>41</xdr:col>
          <xdr:colOff>95250</xdr:colOff>
          <xdr:row>34</xdr:row>
          <xdr:rowOff>142875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186008"/>
                </a:ext>
              </a:extLst>
            </xdr:cNvPicPr>
          </xdr:nvPicPr>
          <xdr:blipFill>
            <a:blip xmlns:r="http://schemas.openxmlformats.org/officeDocument/2006/relationships" r:embed="rId3"/>
            <a:srcRect/>
            <a:stretch>
              <a:fillRect/>
            </a:stretch>
          </xdr:blipFill>
          <xdr:spPr bwMode="auto">
            <a:xfrm>
              <a:off x="7620000" y="22383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152400</xdr:rowOff>
        </xdr:from>
        <xdr:to>
          <xdr:col>9</xdr:col>
          <xdr:colOff>95250</xdr:colOff>
          <xdr:row>26</xdr:row>
          <xdr:rowOff>66675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186009"/>
                </a:ext>
              </a:extLst>
            </xdr:cNvPicPr>
          </xdr:nvPicPr>
          <xdr:blipFill>
            <a:blip xmlns:r="http://schemas.openxmlformats.org/officeDocument/2006/relationships" r:embed="rId4"/>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38</xdr:row>
          <xdr:rowOff>0</xdr:rowOff>
        </xdr:from>
        <xdr:to>
          <xdr:col>25</xdr:col>
          <xdr:colOff>0</xdr:colOff>
          <xdr:row>61</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186010"/>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38</xdr:row>
          <xdr:rowOff>0</xdr:rowOff>
        </xdr:from>
        <xdr:to>
          <xdr:col>41</xdr:col>
          <xdr:colOff>133350</xdr:colOff>
          <xdr:row>61</xdr:row>
          <xdr:rowOff>47625</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186011"/>
                </a:ext>
              </a:extLst>
            </xdr:cNvPicPr>
          </xdr:nvPicPr>
          <xdr:blipFill>
            <a:blip xmlns:r="http://schemas.openxmlformats.org/officeDocument/2006/relationships" r:embed="rId17"/>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xdr:col>
      <xdr:colOff>257175</xdr:colOff>
      <xdr:row>0</xdr:row>
      <xdr:rowOff>0</xdr:rowOff>
    </xdr:from>
    <xdr:to>
      <xdr:col>10</xdr:col>
      <xdr:colOff>95250</xdr:colOff>
      <xdr:row>7</xdr:row>
      <xdr:rowOff>0</xdr:rowOff>
    </xdr:to>
    <xdr:pic>
      <xdr:nvPicPr>
        <xdr:cNvPr id="944568" name="Obrázek 2">
          <a:extLst>
            <a:ext uri="{FF2B5EF4-FFF2-40B4-BE49-F238E27FC236}">
              <a16:creationId xmlns:a16="http://schemas.microsoft.com/office/drawing/2014/main" id="{00A99E45-F512-F022-E39D-637B1FB20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0"/>
          <a:ext cx="2200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xdr:col>
      <xdr:colOff>152400</xdr:colOff>
      <xdr:row>7</xdr:row>
      <xdr:rowOff>28575</xdr:rowOff>
    </xdr:from>
    <xdr:to>
      <xdr:col>45</xdr:col>
      <xdr:colOff>95250</xdr:colOff>
      <xdr:row>27</xdr:row>
      <xdr:rowOff>9525</xdr:rowOff>
    </xdr:to>
    <xdr:pic>
      <xdr:nvPicPr>
        <xdr:cNvPr id="944602" name="Obrázek 4">
          <a:extLst>
            <a:ext uri="{FF2B5EF4-FFF2-40B4-BE49-F238E27FC236}">
              <a16:creationId xmlns:a16="http://schemas.microsoft.com/office/drawing/2014/main" id="{D0E2E44A-3B20-4A9F-9116-2272A11E8D2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47675" y="1238250"/>
          <a:ext cx="1293495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28575</xdr:colOff>
      <xdr:row>7</xdr:row>
      <xdr:rowOff>152400</xdr:rowOff>
    </xdr:from>
    <xdr:to>
      <xdr:col>43</xdr:col>
      <xdr:colOff>152400</xdr:colOff>
      <xdr:row>17</xdr:row>
      <xdr:rowOff>85725</xdr:rowOff>
    </xdr:to>
    <xdr:pic>
      <xdr:nvPicPr>
        <xdr:cNvPr id="944603" name="Obraz 4">
          <a:extLst>
            <a:ext uri="{FF2B5EF4-FFF2-40B4-BE49-F238E27FC236}">
              <a16:creationId xmlns:a16="http://schemas.microsoft.com/office/drawing/2014/main" id="{2CD88EE5-FBC1-A5E1-B093-1D8AE9331E9F}"/>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1544300" y="1362075"/>
          <a:ext cx="13049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39</xdr:col>
      <xdr:colOff>0</xdr:colOff>
      <xdr:row>17</xdr:row>
      <xdr:rowOff>138430</xdr:rowOff>
    </xdr:from>
    <xdr:ext cx="1566387" cy="349680"/>
    <xdr:sp macro="" textlink="">
      <xdr:nvSpPr>
        <xdr:cNvPr id="5" name="TextovéPole 4">
          <a:extLst>
            <a:ext uri="{FF2B5EF4-FFF2-40B4-BE49-F238E27FC236}">
              <a16:creationId xmlns:a16="http://schemas.microsoft.com/office/drawing/2014/main" id="{042DADF7-BE9D-CE41-A073-5EB8220BDE3D}"/>
            </a:ext>
          </a:extLst>
        </xdr:cNvPr>
        <xdr:cNvSpPr txBox="1"/>
      </xdr:nvSpPr>
      <xdr:spPr>
        <a:xfrm>
          <a:off x="11496675" y="3162300"/>
          <a:ext cx="16287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cs-CZ" sz="800"/>
            <a:t>PLANIBEL DARK GREY - substitute Venus VG10</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21</xdr:col>
      <xdr:colOff>38100</xdr:colOff>
      <xdr:row>54</xdr:row>
      <xdr:rowOff>9525</xdr:rowOff>
    </xdr:from>
    <xdr:to>
      <xdr:col>32</xdr:col>
      <xdr:colOff>0</xdr:colOff>
      <xdr:row>80</xdr:row>
      <xdr:rowOff>57150</xdr:rowOff>
    </xdr:to>
    <xdr:pic>
      <xdr:nvPicPr>
        <xdr:cNvPr id="947212" name="Obrázek 14">
          <a:extLst>
            <a:ext uri="{FF2B5EF4-FFF2-40B4-BE49-F238E27FC236}">
              <a16:creationId xmlns:a16="http://schemas.microsoft.com/office/drawing/2014/main" id="{0C7FB7A8-C18B-694D-BE40-5B60CB676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11420475"/>
          <a:ext cx="6400800" cy="504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28575</xdr:colOff>
      <xdr:row>9</xdr:row>
      <xdr:rowOff>47625</xdr:rowOff>
    </xdr:from>
    <xdr:to>
      <xdr:col>30</xdr:col>
      <xdr:colOff>9525</xdr:colOff>
      <xdr:row>36</xdr:row>
      <xdr:rowOff>28575</xdr:rowOff>
    </xdr:to>
    <xdr:pic>
      <xdr:nvPicPr>
        <xdr:cNvPr id="947213" name="Obrázek 2">
          <a:extLst>
            <a:ext uri="{FF2B5EF4-FFF2-40B4-BE49-F238E27FC236}">
              <a16:creationId xmlns:a16="http://schemas.microsoft.com/office/drawing/2014/main" id="{065E3096-1834-5E47-21AC-A4B58429F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30075" y="1933575"/>
          <a:ext cx="5200650"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257175</xdr:colOff>
      <xdr:row>0</xdr:row>
      <xdr:rowOff>0</xdr:rowOff>
    </xdr:from>
    <xdr:to>
      <xdr:col>3</xdr:col>
      <xdr:colOff>0</xdr:colOff>
      <xdr:row>5</xdr:row>
      <xdr:rowOff>19050</xdr:rowOff>
    </xdr:to>
    <xdr:pic>
      <xdr:nvPicPr>
        <xdr:cNvPr id="947214" name="Obrázek 17">
          <a:extLst>
            <a:ext uri="{FF2B5EF4-FFF2-40B4-BE49-F238E27FC236}">
              <a16:creationId xmlns:a16="http://schemas.microsoft.com/office/drawing/2014/main" id="{6FE80A85-6454-C225-9C1D-874E1599B1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 y="0"/>
          <a:ext cx="3143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0</xdr:row>
      <xdr:rowOff>0</xdr:rowOff>
    </xdr:from>
    <xdr:to>
      <xdr:col>6</xdr:col>
      <xdr:colOff>0</xdr:colOff>
      <xdr:row>5</xdr:row>
      <xdr:rowOff>19050</xdr:rowOff>
    </xdr:to>
    <xdr:pic>
      <xdr:nvPicPr>
        <xdr:cNvPr id="947215" name="Obrázek 18">
          <a:extLst>
            <a:ext uri="{FF2B5EF4-FFF2-40B4-BE49-F238E27FC236}">
              <a16:creationId xmlns:a16="http://schemas.microsoft.com/office/drawing/2014/main" id="{6EE8373A-7C05-E38E-C417-82D15F1659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2075" y="0"/>
          <a:ext cx="20669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647700</xdr:colOff>
      <xdr:row>72</xdr:row>
      <xdr:rowOff>47625</xdr:rowOff>
    </xdr:from>
    <xdr:to>
      <xdr:col>13</xdr:col>
      <xdr:colOff>371475</xdr:colOff>
      <xdr:row>89</xdr:row>
      <xdr:rowOff>152400</xdr:rowOff>
    </xdr:to>
    <xdr:pic>
      <xdr:nvPicPr>
        <xdr:cNvPr id="947216" name="Obrázek 4">
          <a:extLst>
            <a:ext uri="{FF2B5EF4-FFF2-40B4-BE49-F238E27FC236}">
              <a16:creationId xmlns:a16="http://schemas.microsoft.com/office/drawing/2014/main" id="{C8369E81-B365-CB4A-63AA-8709B80EB2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0" y="14935200"/>
          <a:ext cx="722947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92</xdr:row>
      <xdr:rowOff>209550</xdr:rowOff>
    </xdr:from>
    <xdr:to>
      <xdr:col>6</xdr:col>
      <xdr:colOff>0</xdr:colOff>
      <xdr:row>104</xdr:row>
      <xdr:rowOff>47625</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95250</xdr:rowOff>
    </xdr:from>
    <xdr:to>
      <xdr:col>4</xdr:col>
      <xdr:colOff>123825</xdr:colOff>
      <xdr:row>110</xdr:row>
      <xdr:rowOff>57150</xdr:rowOff>
    </xdr:to>
    <xdr:pic>
      <xdr:nvPicPr>
        <xdr:cNvPr id="947219" name="Obrázek 7">
          <a:extLst>
            <a:ext uri="{FF2B5EF4-FFF2-40B4-BE49-F238E27FC236}">
              <a16:creationId xmlns:a16="http://schemas.microsoft.com/office/drawing/2014/main" id="{55DBBEE9-ED3B-B94F-1427-A9004E6F440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71500" y="20935950"/>
          <a:ext cx="18383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9</xdr:row>
      <xdr:rowOff>57150</xdr:rowOff>
    </xdr:from>
    <xdr:to>
      <xdr:col>16</xdr:col>
      <xdr:colOff>0</xdr:colOff>
      <xdr:row>21</xdr:row>
      <xdr:rowOff>0</xdr:rowOff>
    </xdr:to>
    <xdr:pic>
      <xdr:nvPicPr>
        <xdr:cNvPr id="947223" name="Obrázek 13">
          <a:extLst>
            <a:ext uri="{FF2B5EF4-FFF2-40B4-BE49-F238E27FC236}">
              <a16:creationId xmlns:a16="http://schemas.microsoft.com/office/drawing/2014/main" id="{2C07442B-032E-7E2B-7D5B-A8F93C142D2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531" r="17999"/>
        <a:stretch>
          <a:fillRect/>
        </a:stretch>
      </xdr:blipFill>
      <xdr:spPr bwMode="auto">
        <a:xfrm>
          <a:off x="7467600" y="1943100"/>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37</xdr:row>
      <xdr:rowOff>28575</xdr:rowOff>
    </xdr:from>
    <xdr:to>
      <xdr:col>4</xdr:col>
      <xdr:colOff>57150</xdr:colOff>
      <xdr:row>49</xdr:row>
      <xdr:rowOff>28575</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9951" r="10143"/>
        <a:stretch>
          <a:fillRect/>
        </a:stretch>
      </xdr:blipFill>
      <xdr:spPr bwMode="auto">
        <a:xfrm>
          <a:off x="152400" y="8162925"/>
          <a:ext cx="219075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37</xdr:row>
      <xdr:rowOff>180975</xdr:rowOff>
    </xdr:from>
    <xdr:to>
      <xdr:col>8</xdr:col>
      <xdr:colOff>0</xdr:colOff>
      <xdr:row>50</xdr:row>
      <xdr:rowOff>0</xdr:rowOff>
    </xdr:to>
    <xdr:pic>
      <xdr:nvPicPr>
        <xdr:cNvPr id="947225" name="Obrázek 22">
          <a:extLst>
            <a:ext uri="{FF2B5EF4-FFF2-40B4-BE49-F238E27FC236}">
              <a16:creationId xmlns:a16="http://schemas.microsoft.com/office/drawing/2014/main" id="{C890FE65-DDA1-6D8E-D8A6-FD49240D9A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4399" r="14799"/>
        <a:stretch>
          <a:fillRect/>
        </a:stretch>
      </xdr:blipFill>
      <xdr:spPr bwMode="auto">
        <a:xfrm>
          <a:off x="2895600" y="8315325"/>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37</xdr:row>
      <xdr:rowOff>180975</xdr:rowOff>
    </xdr:from>
    <xdr:to>
      <xdr:col>12</xdr:col>
      <xdr:colOff>0</xdr:colOff>
      <xdr:row>50</xdr:row>
      <xdr:rowOff>0</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4500" r="16701"/>
        <a:stretch>
          <a:fillRect/>
        </a:stretch>
      </xdr:blipFill>
      <xdr:spPr bwMode="auto">
        <a:xfrm>
          <a:off x="5219700" y="8315325"/>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37</xdr:row>
      <xdr:rowOff>180975</xdr:rowOff>
    </xdr:from>
    <xdr:to>
      <xdr:col>16</xdr:col>
      <xdr:colOff>0</xdr:colOff>
      <xdr:row>50</xdr:row>
      <xdr:rowOff>0</xdr:rowOff>
    </xdr:to>
    <xdr:pic>
      <xdr:nvPicPr>
        <xdr:cNvPr id="947227" name="Obrázek 27">
          <a:extLst>
            <a:ext uri="{FF2B5EF4-FFF2-40B4-BE49-F238E27FC236}">
              <a16:creationId xmlns:a16="http://schemas.microsoft.com/office/drawing/2014/main" id="{384FF230-A37C-BAC7-8E36-996A0CB434F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36501" r="15700"/>
        <a:stretch>
          <a:fillRect/>
        </a:stretch>
      </xdr:blipFill>
      <xdr:spPr bwMode="auto">
        <a:xfrm>
          <a:off x="7524750" y="8315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53</xdr:row>
      <xdr:rowOff>190500</xdr:rowOff>
    </xdr:from>
    <xdr:to>
      <xdr:col>8</xdr:col>
      <xdr:colOff>0</xdr:colOff>
      <xdr:row>66</xdr:row>
      <xdr:rowOff>0</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100" r="22099"/>
        <a:stretch>
          <a:fillRect/>
        </a:stretch>
      </xdr:blipFill>
      <xdr:spPr bwMode="auto">
        <a:xfrm>
          <a:off x="2933700" y="11410950"/>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53</xdr:row>
      <xdr:rowOff>209550</xdr:rowOff>
    </xdr:from>
    <xdr:to>
      <xdr:col>12</xdr:col>
      <xdr:colOff>76200</xdr:colOff>
      <xdr:row>66</xdr:row>
      <xdr:rowOff>0</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25800" r="17500"/>
        <a:stretch>
          <a:fillRect/>
        </a:stretch>
      </xdr:blipFill>
      <xdr:spPr bwMode="auto">
        <a:xfrm>
          <a:off x="5143500" y="11410950"/>
          <a:ext cx="17907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609600</xdr:colOff>
      <xdr:row>17</xdr:row>
      <xdr:rowOff>152400</xdr:rowOff>
    </xdr:from>
    <xdr:to>
      <xdr:col>27</xdr:col>
      <xdr:colOff>0</xdr:colOff>
      <xdr:row>23</xdr:row>
      <xdr:rowOff>28575</xdr:rowOff>
    </xdr:to>
    <xdr:pic>
      <xdr:nvPicPr>
        <xdr:cNvPr id="947231" name="Obrázek 1">
          <a:extLst>
            <a:ext uri="{FF2B5EF4-FFF2-40B4-BE49-F238E27FC236}">
              <a16:creationId xmlns:a16="http://schemas.microsoft.com/office/drawing/2014/main" id="{A3BD8610-9CB6-ECEA-EFDE-B693C6830CE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0" y="3562350"/>
          <a:ext cx="3429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726</xdr:colOff>
      <xdr:row>18</xdr:row>
      <xdr:rowOff>998</xdr:rowOff>
    </xdr:from>
    <xdr:to>
      <xdr:col>30</xdr:col>
      <xdr:colOff>177950</xdr:colOff>
      <xdr:row>34</xdr:row>
      <xdr:rowOff>36320</xdr:rowOff>
    </xdr:to>
    <xdr:sp macro="" textlink="">
      <xdr:nvSpPr>
        <xdr:cNvPr id="6" name="Obdélník 5">
          <a:extLst>
            <a:ext uri="{FF2B5EF4-FFF2-40B4-BE49-F238E27FC236}">
              <a16:creationId xmlns:a16="http://schemas.microsoft.com/office/drawing/2014/main" id="{9CE5F9B6-73FE-AB6D-8310-9AEBE1F62D65}"/>
            </a:ext>
          </a:extLst>
        </xdr:cNvPr>
        <xdr:cNvSpPr/>
      </xdr:nvSpPr>
      <xdr:spPr bwMode="auto">
        <a:xfrm>
          <a:off x="14239875" y="3248025"/>
          <a:ext cx="2438400" cy="1276350"/>
        </a:xfrm>
        <a:prstGeom prst="rect">
          <a:avLst/>
        </a:prstGeom>
        <a:solidFill>
          <a:schemeClr val="bg1"/>
        </a:solidFill>
        <a:ln>
          <a:headEnd type="none" w="med" len="med"/>
          <a:tailEnd type="none" w="med" len="med"/>
        </a:ln>
        <a:effectLst/>
      </xdr:spPr>
      <xdr:style>
        <a:lnRef idx="3">
          <a:schemeClr val="lt1"/>
        </a:lnRef>
        <a:fillRef idx="1">
          <a:schemeClr val="accent3"/>
        </a:fillRef>
        <a:effectRef idx="1">
          <a:schemeClr val="accent3"/>
        </a:effectRef>
        <a:fontRef idx="minor">
          <a:schemeClr val="lt1"/>
        </a:fontRef>
      </xdr:style>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9</xdr:col>
      <xdr:colOff>390525</xdr:colOff>
      <xdr:row>73</xdr:row>
      <xdr:rowOff>0</xdr:rowOff>
    </xdr:from>
    <xdr:to>
      <xdr:col>14</xdr:col>
      <xdr:colOff>0</xdr:colOff>
      <xdr:row>86</xdr:row>
      <xdr:rowOff>0</xdr:rowOff>
    </xdr:to>
    <xdr:pic>
      <xdr:nvPicPr>
        <xdr:cNvPr id="947233" name="Obrázek 9">
          <a:extLst>
            <a:ext uri="{FF2B5EF4-FFF2-40B4-BE49-F238E27FC236}">
              <a16:creationId xmlns:a16="http://schemas.microsoft.com/office/drawing/2014/main" id="{C02C52F2-4BCD-733D-4570-1A06899B6C4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33960" t="6769" r="2608" b="35504"/>
        <a:stretch>
          <a:fillRect/>
        </a:stretch>
      </xdr:blipFill>
      <xdr:spPr bwMode="auto">
        <a:xfrm>
          <a:off x="5534025" y="15078075"/>
          <a:ext cx="246697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133350</xdr:colOff>
      <xdr:row>17</xdr:row>
      <xdr:rowOff>76200</xdr:rowOff>
    </xdr:from>
    <xdr:to>
      <xdr:col>29</xdr:col>
      <xdr:colOff>85725</xdr:colOff>
      <xdr:row>23</xdr:row>
      <xdr:rowOff>209550</xdr:rowOff>
    </xdr:to>
    <xdr:pic>
      <xdr:nvPicPr>
        <xdr:cNvPr id="947234" name="Obrázek 7">
          <a:extLst>
            <a:ext uri="{FF2B5EF4-FFF2-40B4-BE49-F238E27FC236}">
              <a16:creationId xmlns:a16="http://schemas.microsoft.com/office/drawing/2014/main" id="{12804754-8119-5D14-1B10-1F2D273F3684}"/>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563850" y="3486150"/>
          <a:ext cx="11334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10</xdr:row>
      <xdr:rowOff>19050</xdr:rowOff>
    </xdr:from>
    <xdr:to>
      <xdr:col>19</xdr:col>
      <xdr:colOff>95250</xdr:colOff>
      <xdr:row>21</xdr:row>
      <xdr:rowOff>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725025" y="2095500"/>
          <a:ext cx="12287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9525</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25</xdr:row>
      <xdr:rowOff>57150</xdr:rowOff>
    </xdr:from>
    <xdr:to>
      <xdr:col>29</xdr:col>
      <xdr:colOff>9525</xdr:colOff>
      <xdr:row>28</xdr:row>
      <xdr:rowOff>28575</xdr:rowOff>
    </xdr:to>
    <xdr:pic>
      <xdr:nvPicPr>
        <xdr:cNvPr id="947237" name="Obrázek 2">
          <a:extLst>
            <a:ext uri="{FF2B5EF4-FFF2-40B4-BE49-F238E27FC236}">
              <a16:creationId xmlns:a16="http://schemas.microsoft.com/office/drawing/2014/main" id="{D64291F7-D783-E3B1-DB8C-764B821322B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25750" y="5267325"/>
          <a:ext cx="10953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133350</xdr:colOff>
      <xdr:row>24</xdr:row>
      <xdr:rowOff>28575</xdr:rowOff>
    </xdr:from>
    <xdr:to>
      <xdr:col>28</xdr:col>
      <xdr:colOff>85725</xdr:colOff>
      <xdr:row>24</xdr:row>
      <xdr:rowOff>209550</xdr:rowOff>
    </xdr:to>
    <xdr:pic>
      <xdr:nvPicPr>
        <xdr:cNvPr id="947238" name="Obrázek 4">
          <a:extLst>
            <a:ext uri="{FF2B5EF4-FFF2-40B4-BE49-F238E27FC236}">
              <a16:creationId xmlns:a16="http://schemas.microsoft.com/office/drawing/2014/main" id="{D61401C4-25CC-AB45-7CE4-235E4B49272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563850" y="4972050"/>
          <a:ext cx="5238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447675</xdr:colOff>
      <xdr:row>26</xdr:row>
      <xdr:rowOff>38100</xdr:rowOff>
    </xdr:from>
    <xdr:to>
      <xdr:col>27</xdr:col>
      <xdr:colOff>133350</xdr:colOff>
      <xdr:row>27</xdr:row>
      <xdr:rowOff>9525</xdr:rowOff>
    </xdr:to>
    <xdr:pic>
      <xdr:nvPicPr>
        <xdr:cNvPr id="947239" name="Obrázek 6">
          <a:extLst>
            <a:ext uri="{FF2B5EF4-FFF2-40B4-BE49-F238E27FC236}">
              <a16:creationId xmlns:a16="http://schemas.microsoft.com/office/drawing/2014/main" id="{E84F42FF-F72D-55F8-72D8-25BC456BF12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306675" y="5514975"/>
          <a:ext cx="257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28</xdr:row>
      <xdr:rowOff>28575</xdr:rowOff>
    </xdr:from>
    <xdr:to>
      <xdr:col>28</xdr:col>
      <xdr:colOff>238125</xdr:colOff>
      <xdr:row>28</xdr:row>
      <xdr:rowOff>180975</xdr:rowOff>
    </xdr:to>
    <xdr:pic>
      <xdr:nvPicPr>
        <xdr:cNvPr id="947240" name="Obrázek 9">
          <a:extLst>
            <a:ext uri="{FF2B5EF4-FFF2-40B4-BE49-F238E27FC236}">
              <a16:creationId xmlns:a16="http://schemas.microsoft.com/office/drawing/2014/main" id="{1490CE21-3567-6D6F-0E54-0E168D00705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030575" y="6038850"/>
          <a:ext cx="2095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28575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30</xdr:row>
      <xdr:rowOff>47625</xdr:rowOff>
    </xdr:from>
    <xdr:to>
      <xdr:col>29</xdr:col>
      <xdr:colOff>28575</xdr:colOff>
      <xdr:row>34</xdr:row>
      <xdr:rowOff>0</xdr:rowOff>
    </xdr:to>
    <xdr:pic>
      <xdr:nvPicPr>
        <xdr:cNvPr id="947242" name="Obrázek 11">
          <a:extLst>
            <a:ext uri="{FF2B5EF4-FFF2-40B4-BE49-F238E27FC236}">
              <a16:creationId xmlns:a16="http://schemas.microsoft.com/office/drawing/2014/main" id="{FCF5F701-B191-A59E-D258-D409585E2F3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525750" y="6591300"/>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29</xdr:row>
      <xdr:rowOff>38100</xdr:rowOff>
    </xdr:from>
    <xdr:to>
      <xdr:col>28</xdr:col>
      <xdr:colOff>161925</xdr:colOff>
      <xdr:row>30</xdr:row>
      <xdr:rowOff>9525</xdr:rowOff>
    </xdr:to>
    <xdr:pic>
      <xdr:nvPicPr>
        <xdr:cNvPr id="947243" name="Obrázek 13">
          <a:extLst>
            <a:ext uri="{FF2B5EF4-FFF2-40B4-BE49-F238E27FC236}">
              <a16:creationId xmlns:a16="http://schemas.microsoft.com/office/drawing/2014/main" id="{3F71D4FF-E09F-4733-E626-DC241A7AF0D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5525750" y="6315075"/>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152400</xdr:colOff>
      <xdr:row>16</xdr:row>
      <xdr:rowOff>9525</xdr:rowOff>
    </xdr:from>
    <xdr:to>
      <xdr:col>25</xdr:col>
      <xdr:colOff>38100</xdr:colOff>
      <xdr:row>17</xdr:row>
      <xdr:rowOff>0</xdr:rowOff>
    </xdr:to>
    <xdr:pic>
      <xdr:nvPicPr>
        <xdr:cNvPr id="947244" name="Obrázek 17">
          <a:extLst>
            <a:ext uri="{FF2B5EF4-FFF2-40B4-BE49-F238E27FC236}">
              <a16:creationId xmlns:a16="http://schemas.microsoft.com/office/drawing/2014/main" id="{32BE26BD-3A10-8DFD-8A82-C4A0A5FDCA0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868400" y="3228975"/>
          <a:ext cx="457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28575</xdr:colOff>
      <xdr:row>9</xdr:row>
      <xdr:rowOff>47625</xdr:rowOff>
    </xdr:from>
    <xdr:to>
      <xdr:col>21</xdr:col>
      <xdr:colOff>76200</xdr:colOff>
      <xdr:row>10</xdr:row>
      <xdr:rowOff>38100</xdr:rowOff>
    </xdr:to>
    <xdr:pic>
      <xdr:nvPicPr>
        <xdr:cNvPr id="947245" name="Obrázek 19">
          <a:extLst>
            <a:ext uri="{FF2B5EF4-FFF2-40B4-BE49-F238E27FC236}">
              <a16:creationId xmlns:a16="http://schemas.microsoft.com/office/drawing/2014/main" id="{23C6F38A-F706-EDC4-9289-21AE6CFA77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30075" y="1933575"/>
          <a:ext cx="476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33</xdr:row>
      <xdr:rowOff>47625</xdr:rowOff>
    </xdr:from>
    <xdr:to>
      <xdr:col>28</xdr:col>
      <xdr:colOff>200025</xdr:colOff>
      <xdr:row>35</xdr:row>
      <xdr:rowOff>171450</xdr:rowOff>
    </xdr:to>
    <xdr:pic>
      <xdr:nvPicPr>
        <xdr:cNvPr id="947246" name="Obrázek 20">
          <a:extLst>
            <a:ext uri="{FF2B5EF4-FFF2-40B4-BE49-F238E27FC236}">
              <a16:creationId xmlns:a16="http://schemas.microsoft.com/office/drawing/2014/main" id="{04740429-ED0D-3336-3347-AF625234525D}"/>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040100" y="7391400"/>
          <a:ext cx="161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485775</xdr:colOff>
      <xdr:row>30</xdr:row>
      <xdr:rowOff>114300</xdr:rowOff>
    </xdr:from>
    <xdr:to>
      <xdr:col>27</xdr:col>
      <xdr:colOff>95250</xdr:colOff>
      <xdr:row>32</xdr:row>
      <xdr:rowOff>19050</xdr:rowOff>
    </xdr:to>
    <xdr:pic>
      <xdr:nvPicPr>
        <xdr:cNvPr id="947247" name="Obrázek 21">
          <a:extLst>
            <a:ext uri="{FF2B5EF4-FFF2-40B4-BE49-F238E27FC236}">
              <a16:creationId xmlns:a16="http://schemas.microsoft.com/office/drawing/2014/main" id="{51E7A39F-1B5B-1290-41CF-54C1BFC1300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344775" y="6657975"/>
          <a:ext cx="180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28575</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487160"/>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487161"/>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487162"/>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487163"/>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487164"/>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487165"/>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22</xdr:col>
          <xdr:colOff>400050</xdr:colOff>
          <xdr:row>225</xdr:row>
          <xdr:rowOff>49306</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487166"/>
                </a:ext>
              </a:extLst>
            </xdr:cNvPicPr>
          </xdr:nvPicPr>
          <xdr:blipFill>
            <a:blip xmlns:r="http://schemas.openxmlformats.org/officeDocument/2006/relationships" r:embed="rId1"/>
            <a:srcRect/>
            <a:stretch>
              <a:fillRect/>
            </a:stretch>
          </xdr:blipFill>
          <xdr:spPr bwMode="auto">
            <a:xfrm>
              <a:off x="6752104" y="45193324"/>
              <a:ext cx="371475"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487167"/>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487168"/>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487169"/>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185</xdr:row>
          <xdr:rowOff>0</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487170"/>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487171"/>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221</xdr:row>
          <xdr:rowOff>0</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487172"/>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3</xdr:row>
          <xdr:rowOff>66675</xdr:rowOff>
        </xdr:from>
        <xdr:to>
          <xdr:col>42</xdr:col>
          <xdr:colOff>581025</xdr:colOff>
          <xdr:row>5</xdr:row>
          <xdr:rowOff>57150</xdr:rowOff>
        </xdr:to>
        <xdr:sp macro="" textlink="">
          <xdr:nvSpPr>
            <xdr:cNvPr id="486431" name="Check Box 2079" hidden="1">
              <a:extLst>
                <a:ext uri="{63B3BB69-23CF-44E3-9099-C40C66FF867C}">
                  <a14:compatExt spid="_x0000_s486431"/>
                </a:ext>
                <a:ext uri="{FF2B5EF4-FFF2-40B4-BE49-F238E27FC236}">
                  <a16:creationId xmlns:a16="http://schemas.microsoft.com/office/drawing/2014/main" id="{00000000-0008-0000-1800-00001F6C0700}"/>
                </a:ext>
              </a:extLst>
            </xdr:cNvPr>
            <xdr:cNvSpPr/>
          </xdr:nvSpPr>
          <xdr:spPr bwMode="auto">
            <a:xfrm>
              <a:off x="0" y="0"/>
              <a:ext cx="0" cy="0"/>
            </a:xfrm>
            <a:prstGeom prst="rect">
              <a:avLst/>
            </a:prstGeom>
            <a:solidFill>
              <a:srgbClr val="FFFFFF" mc:Ignorable="a14" a14:legacySpreadsheetColorIndex="9"/>
            </a:solidFill>
            <a:ln w="317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28575</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487173"/>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487174"/>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487175"/>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487176"/>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487177"/>
                </a:ext>
              </a:extLst>
            </xdr:cNvPicPr>
          </xdr:nvPicPr>
          <xdr:blipFill>
            <a:blip xmlns:r="http://schemas.openxmlformats.org/officeDocument/2006/relationships" r:embed="rId9"/>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487178"/>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22</xdr:col>
          <xdr:colOff>400050</xdr:colOff>
          <xdr:row>225</xdr:row>
          <xdr:rowOff>49306</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487179"/>
                </a:ext>
              </a:extLst>
            </xdr:cNvPicPr>
          </xdr:nvPicPr>
          <xdr:blipFill>
            <a:blip xmlns:r="http://schemas.openxmlformats.org/officeDocument/2006/relationships" r:embed="rId1"/>
            <a:srcRect/>
            <a:stretch>
              <a:fillRect/>
            </a:stretch>
          </xdr:blipFill>
          <xdr:spPr bwMode="auto">
            <a:xfrm>
              <a:off x="6752104" y="45193324"/>
              <a:ext cx="371475"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487180"/>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487181"/>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487182"/>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185</xdr:row>
          <xdr:rowOff>0</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487183"/>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487184"/>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221</xdr:row>
          <xdr:rowOff>0</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487185"/>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10</xdr:col>
      <xdr:colOff>1343025</xdr:colOff>
      <xdr:row>2</xdr:row>
      <xdr:rowOff>209550</xdr:rowOff>
    </xdr:from>
    <xdr:to>
      <xdr:col>11</xdr:col>
      <xdr:colOff>638175</xdr:colOff>
      <xdr:row>3</xdr:row>
      <xdr:rowOff>0</xdr:rowOff>
    </xdr:to>
    <xdr:pic>
      <xdr:nvPicPr>
        <xdr:cNvPr id="870827" name="Obrázek 3">
          <a:extLst>
            <a:ext uri="{FF2B5EF4-FFF2-40B4-BE49-F238E27FC236}">
              <a16:creationId xmlns:a16="http://schemas.microsoft.com/office/drawing/2014/main" id="{09EED513-61D4-F698-1901-4D34C66DF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493" t="7895" b="13158"/>
        <a:stretch>
          <a:fillRect/>
        </a:stretch>
      </xdr:blipFill>
      <xdr:spPr bwMode="auto">
        <a:xfrm>
          <a:off x="8753475" y="438150"/>
          <a:ext cx="1028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1636</xdr:colOff>
      <xdr:row>46</xdr:row>
      <xdr:rowOff>781</xdr:rowOff>
    </xdr:from>
    <xdr:to>
      <xdr:col>9</xdr:col>
      <xdr:colOff>2630</xdr:colOff>
      <xdr:row>50</xdr:row>
      <xdr:rowOff>558</xdr:rowOff>
    </xdr:to>
    <xdr:cxnSp macro="">
      <xdr:nvCxnSpPr>
        <xdr:cNvPr id="3" name="Přímá spojovací šipka 2">
          <a:extLst>
            <a:ext uri="{FF2B5EF4-FFF2-40B4-BE49-F238E27FC236}">
              <a16:creationId xmlns:a16="http://schemas.microsoft.com/office/drawing/2014/main" id="{680274A1-E5A6-8C82-6B36-09FC6E155799}"/>
            </a:ext>
          </a:extLst>
        </xdr:cNvPr>
        <xdr:cNvCxnSpPr/>
      </xdr:nvCxnSpPr>
      <xdr:spPr>
        <a:xfrm flipH="1">
          <a:off x="2489166" y="8081596"/>
          <a:ext cx="1988" cy="109033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40</xdr:row>
      <xdr:rowOff>46184</xdr:rowOff>
    </xdr:from>
    <xdr:to>
      <xdr:col>23</xdr:col>
      <xdr:colOff>2250</xdr:colOff>
      <xdr:row>40</xdr:row>
      <xdr:rowOff>46184</xdr:rowOff>
    </xdr:to>
    <xdr:cxnSp macro="">
      <xdr:nvCxnSpPr>
        <xdr:cNvPr id="5" name="Přímá spojovací šipka 4">
          <a:extLst>
            <a:ext uri="{FF2B5EF4-FFF2-40B4-BE49-F238E27FC236}">
              <a16:creationId xmlns:a16="http://schemas.microsoft.com/office/drawing/2014/main" id="{59577B62-1854-D9C7-1616-BD03993B893F}"/>
            </a:ext>
          </a:extLst>
        </xdr:cNvPr>
        <xdr:cNvCxnSpPr/>
      </xdr:nvCxnSpPr>
      <xdr:spPr>
        <a:xfrm>
          <a:off x="5202115" y="5685692"/>
          <a:ext cx="1123209"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29</xdr:row>
      <xdr:rowOff>12844</xdr:rowOff>
    </xdr:from>
    <xdr:to>
      <xdr:col>18</xdr:col>
      <xdr:colOff>3094</xdr:colOff>
      <xdr:row>39</xdr:row>
      <xdr:rowOff>7783</xdr:rowOff>
    </xdr:to>
    <xdr:cxnSp macro="">
      <xdr:nvCxnSpPr>
        <xdr:cNvPr id="25" name="Přímá spojovací šipka 24">
          <a:extLst>
            <a:ext uri="{FF2B5EF4-FFF2-40B4-BE49-F238E27FC236}">
              <a16:creationId xmlns:a16="http://schemas.microsoft.com/office/drawing/2014/main" id="{5C448464-9507-F8D3-F6AD-773494DDB8CA}"/>
            </a:ext>
          </a:extLst>
        </xdr:cNvPr>
        <xdr:cNvCxnSpPr/>
      </xdr:nvCxnSpPr>
      <xdr:spPr>
        <a:xfrm flipH="1">
          <a:off x="4542692" y="5777614"/>
          <a:ext cx="5378" cy="144673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2870</xdr:colOff>
      <xdr:row>41</xdr:row>
      <xdr:rowOff>168</xdr:rowOff>
    </xdr:from>
    <xdr:to>
      <xdr:col>18</xdr:col>
      <xdr:colOff>2870</xdr:colOff>
      <xdr:row>50</xdr:row>
      <xdr:rowOff>34849</xdr:rowOff>
    </xdr:to>
    <xdr:cxnSp macro="">
      <xdr:nvCxnSpPr>
        <xdr:cNvPr id="29" name="Přímá spojovací šipka 28">
          <a:extLst>
            <a:ext uri="{FF2B5EF4-FFF2-40B4-BE49-F238E27FC236}">
              <a16:creationId xmlns:a16="http://schemas.microsoft.com/office/drawing/2014/main" id="{8B808BAF-9952-0CB3-0BFC-1DFB60A10775}"/>
            </a:ext>
          </a:extLst>
        </xdr:cNvPr>
        <xdr:cNvCxnSpPr/>
      </xdr:nvCxnSpPr>
      <xdr:spPr>
        <a:xfrm rot="16200000" flipH="1">
          <a:off x="6011413" y="8794639"/>
          <a:ext cx="2029234"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46</xdr:row>
      <xdr:rowOff>1023</xdr:rowOff>
    </xdr:from>
    <xdr:to>
      <xdr:col>9</xdr:col>
      <xdr:colOff>792</xdr:colOff>
      <xdr:row>46</xdr:row>
      <xdr:rowOff>1632</xdr:rowOff>
    </xdr:to>
    <xdr:cxnSp macro="">
      <xdr:nvCxnSpPr>
        <xdr:cNvPr id="40" name="Přímá spojovací šipka 39">
          <a:extLst>
            <a:ext uri="{FF2B5EF4-FFF2-40B4-BE49-F238E27FC236}">
              <a16:creationId xmlns:a16="http://schemas.microsoft.com/office/drawing/2014/main" id="{1A9670B7-05B8-73C4-7D06-66365BF68CFA}"/>
            </a:ext>
          </a:extLst>
        </xdr:cNvPr>
        <xdr:cNvCxnSpPr/>
      </xdr:nvCxnSpPr>
      <xdr:spPr>
        <a:xfrm flipV="1">
          <a:off x="672485" y="8017068"/>
          <a:ext cx="1767170"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46</xdr:row>
      <xdr:rowOff>766</xdr:rowOff>
    </xdr:from>
    <xdr:to>
      <xdr:col>16</xdr:col>
      <xdr:colOff>2138</xdr:colOff>
      <xdr:row>46</xdr:row>
      <xdr:rowOff>2354</xdr:rowOff>
    </xdr:to>
    <xdr:cxnSp macro="">
      <xdr:nvCxnSpPr>
        <xdr:cNvPr id="27" name="Přímá spojovací šipka 26">
          <a:extLst>
            <a:ext uri="{FF2B5EF4-FFF2-40B4-BE49-F238E27FC236}">
              <a16:creationId xmlns:a16="http://schemas.microsoft.com/office/drawing/2014/main" id="{1581D2A7-1DEE-5018-64BA-26015EE7C96B}"/>
            </a:ext>
          </a:extLst>
        </xdr:cNvPr>
        <xdr:cNvCxnSpPr/>
      </xdr:nvCxnSpPr>
      <xdr:spPr>
        <a:xfrm>
          <a:off x="2552468" y="8016811"/>
          <a:ext cx="1461528"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762000</xdr:colOff>
          <xdr:row>36</xdr:row>
          <xdr:rowOff>38100</xdr:rowOff>
        </xdr:from>
        <xdr:to>
          <xdr:col>26</xdr:col>
          <xdr:colOff>942975</xdr:colOff>
          <xdr:row>37</xdr:row>
          <xdr:rowOff>142875</xdr:rowOff>
        </xdr:to>
        <xdr:sp macro="" textlink="">
          <xdr:nvSpPr>
            <xdr:cNvPr id="16303" name="Check Box 1967" hidden="1">
              <a:extLst>
                <a:ext uri="{63B3BB69-23CF-44E3-9099-C40C66FF867C}">
                  <a14:compatExt spid="_x0000_s16303"/>
                </a:ext>
                <a:ext uri="{FF2B5EF4-FFF2-40B4-BE49-F238E27FC236}">
                  <a16:creationId xmlns:a16="http://schemas.microsoft.com/office/drawing/2014/main" id="{00000000-0008-0000-1B00-0000AF3F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28</xdr:col>
      <xdr:colOff>1238250</xdr:colOff>
      <xdr:row>2</xdr:row>
      <xdr:rowOff>161925</xdr:rowOff>
    </xdr:from>
    <xdr:to>
      <xdr:col>28</xdr:col>
      <xdr:colOff>3533775</xdr:colOff>
      <xdr:row>5</xdr:row>
      <xdr:rowOff>180975</xdr:rowOff>
    </xdr:to>
    <xdr:pic>
      <xdr:nvPicPr>
        <xdr:cNvPr id="945597" name="Obrázek 45">
          <a:extLst>
            <a:ext uri="{FF2B5EF4-FFF2-40B4-BE49-F238E27FC236}">
              <a16:creationId xmlns:a16="http://schemas.microsoft.com/office/drawing/2014/main" id="{46474663-19EF-D282-F68A-3B1F0D1800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493" t="7895" b="13158"/>
        <a:stretch>
          <a:fillRect/>
        </a:stretch>
      </xdr:blipFill>
      <xdr:spPr bwMode="auto">
        <a:xfrm>
          <a:off x="12725400" y="419100"/>
          <a:ext cx="19716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1636</xdr:colOff>
      <xdr:row>100</xdr:row>
      <xdr:rowOff>2051</xdr:rowOff>
    </xdr:from>
    <xdr:to>
      <xdr:col>9</xdr:col>
      <xdr:colOff>2630</xdr:colOff>
      <xdr:row>103</xdr:row>
      <xdr:rowOff>88523</xdr:rowOff>
    </xdr:to>
    <xdr:cxnSp macro="">
      <xdr:nvCxnSpPr>
        <xdr:cNvPr id="51" name="Přímá spojovací šipka 2">
          <a:extLst>
            <a:ext uri="{FF2B5EF4-FFF2-40B4-BE49-F238E27FC236}">
              <a16:creationId xmlns:a16="http://schemas.microsoft.com/office/drawing/2014/main" id="{5627F283-0264-FB8E-F990-C8ED7793B714}"/>
            </a:ext>
          </a:extLst>
        </xdr:cNvPr>
        <xdr:cNvCxnSpPr/>
      </xdr:nvCxnSpPr>
      <xdr:spPr>
        <a:xfrm flipH="1">
          <a:off x="5314686" y="7748902"/>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94</xdr:row>
      <xdr:rowOff>46184</xdr:rowOff>
    </xdr:from>
    <xdr:to>
      <xdr:col>23</xdr:col>
      <xdr:colOff>2250</xdr:colOff>
      <xdr:row>94</xdr:row>
      <xdr:rowOff>46184</xdr:rowOff>
    </xdr:to>
    <xdr:cxnSp macro="">
      <xdr:nvCxnSpPr>
        <xdr:cNvPr id="58" name="Přímá spojovací šipka 4">
          <a:extLst>
            <a:ext uri="{FF2B5EF4-FFF2-40B4-BE49-F238E27FC236}">
              <a16:creationId xmlns:a16="http://schemas.microsoft.com/office/drawing/2014/main" id="{9746A28A-CC5C-6EBB-BC57-4875D53989B7}"/>
            </a:ext>
          </a:extLst>
        </xdr:cNvPr>
        <xdr:cNvCxnSpPr/>
      </xdr:nvCxnSpPr>
      <xdr:spPr>
        <a:xfrm>
          <a:off x="7483926" y="6839208"/>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83</xdr:row>
      <xdr:rowOff>3132</xdr:rowOff>
    </xdr:from>
    <xdr:to>
      <xdr:col>18</xdr:col>
      <xdr:colOff>3094</xdr:colOff>
      <xdr:row>94</xdr:row>
      <xdr:rowOff>1811</xdr:rowOff>
    </xdr:to>
    <xdr:cxnSp macro="">
      <xdr:nvCxnSpPr>
        <xdr:cNvPr id="65" name="Přímá spojovací šipka 24">
          <a:extLst>
            <a:ext uri="{FF2B5EF4-FFF2-40B4-BE49-F238E27FC236}">
              <a16:creationId xmlns:a16="http://schemas.microsoft.com/office/drawing/2014/main" id="{574E93F3-67E1-467F-B5AC-A79E8EB8EE7A}"/>
            </a:ext>
          </a:extLst>
        </xdr:cNvPr>
        <xdr:cNvCxnSpPr/>
      </xdr:nvCxnSpPr>
      <xdr:spPr>
        <a:xfrm flipH="1">
          <a:off x="7439965" y="5277573"/>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6362</xdr:colOff>
      <xdr:row>95</xdr:row>
      <xdr:rowOff>1388</xdr:rowOff>
    </xdr:from>
    <xdr:to>
      <xdr:col>18</xdr:col>
      <xdr:colOff>6362</xdr:colOff>
      <xdr:row>103</xdr:row>
      <xdr:rowOff>50035</xdr:rowOff>
    </xdr:to>
    <xdr:cxnSp macro="">
      <xdr:nvCxnSpPr>
        <xdr:cNvPr id="72" name="Přímá spojovací šipka 28">
          <a:extLst>
            <a:ext uri="{FF2B5EF4-FFF2-40B4-BE49-F238E27FC236}">
              <a16:creationId xmlns:a16="http://schemas.microsoft.com/office/drawing/2014/main" id="{4F4EF939-6856-1A65-E06A-CA45F689F988}"/>
            </a:ext>
          </a:extLst>
        </xdr:cNvPr>
        <xdr:cNvCxnSpPr/>
      </xdr:nvCxnSpPr>
      <xdr:spPr>
        <a:xfrm rot="16200000" flipH="1">
          <a:off x="6424592" y="7904438"/>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100</xdr:row>
      <xdr:rowOff>1023</xdr:rowOff>
    </xdr:from>
    <xdr:to>
      <xdr:col>9</xdr:col>
      <xdr:colOff>792</xdr:colOff>
      <xdr:row>100</xdr:row>
      <xdr:rowOff>1632</xdr:rowOff>
    </xdr:to>
    <xdr:cxnSp macro="">
      <xdr:nvCxnSpPr>
        <xdr:cNvPr id="79" name="Přímá spojovací šipka 39">
          <a:extLst>
            <a:ext uri="{FF2B5EF4-FFF2-40B4-BE49-F238E27FC236}">
              <a16:creationId xmlns:a16="http://schemas.microsoft.com/office/drawing/2014/main" id="{87364EFE-6B7C-A6D8-2D81-F4400A14EA2A}"/>
            </a:ext>
          </a:extLst>
        </xdr:cNvPr>
        <xdr:cNvCxnSpPr/>
      </xdr:nvCxnSpPr>
      <xdr:spPr>
        <a:xfrm flipV="1">
          <a:off x="2339869" y="7676754"/>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100</xdr:row>
      <xdr:rowOff>766</xdr:rowOff>
    </xdr:from>
    <xdr:to>
      <xdr:col>16</xdr:col>
      <xdr:colOff>2138</xdr:colOff>
      <xdr:row>100</xdr:row>
      <xdr:rowOff>2354</xdr:rowOff>
    </xdr:to>
    <xdr:cxnSp macro="">
      <xdr:nvCxnSpPr>
        <xdr:cNvPr id="80" name="Přímá spojovací šipka 26">
          <a:extLst>
            <a:ext uri="{FF2B5EF4-FFF2-40B4-BE49-F238E27FC236}">
              <a16:creationId xmlns:a16="http://schemas.microsoft.com/office/drawing/2014/main" id="{75BB814D-6D20-99EE-2C55-7D7AD84E45F7}"/>
            </a:ext>
          </a:extLst>
        </xdr:cNvPr>
        <xdr:cNvCxnSpPr/>
      </xdr:nvCxnSpPr>
      <xdr:spPr>
        <a:xfrm>
          <a:off x="5372265" y="7676497"/>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666750</xdr:colOff>
          <xdr:row>90</xdr:row>
          <xdr:rowOff>28575</xdr:rowOff>
        </xdr:from>
        <xdr:to>
          <xdr:col>26</xdr:col>
          <xdr:colOff>800100</xdr:colOff>
          <xdr:row>91</xdr:row>
          <xdr:rowOff>0</xdr:rowOff>
        </xdr:to>
        <xdr:sp macro="" textlink="">
          <xdr:nvSpPr>
            <xdr:cNvPr id="54350" name="Check Box 8270" hidden="1">
              <a:extLst>
                <a:ext uri="{63B3BB69-23CF-44E3-9099-C40C66FF867C}">
                  <a14:compatExt spid="_x0000_s54350"/>
                </a:ext>
                <a:ext uri="{FF2B5EF4-FFF2-40B4-BE49-F238E27FC236}">
                  <a16:creationId xmlns:a16="http://schemas.microsoft.com/office/drawing/2014/main" id="{00000000-0008-0000-1B00-00004E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9</xdr:col>
      <xdr:colOff>1636</xdr:colOff>
      <xdr:row>154</xdr:row>
      <xdr:rowOff>10624</xdr:rowOff>
    </xdr:from>
    <xdr:to>
      <xdr:col>9</xdr:col>
      <xdr:colOff>2630</xdr:colOff>
      <xdr:row>158</xdr:row>
      <xdr:rowOff>290</xdr:rowOff>
    </xdr:to>
    <xdr:cxnSp macro="">
      <xdr:nvCxnSpPr>
        <xdr:cNvPr id="81" name="Přímá spojovací šipka 2">
          <a:extLst>
            <a:ext uri="{FF2B5EF4-FFF2-40B4-BE49-F238E27FC236}">
              <a16:creationId xmlns:a16="http://schemas.microsoft.com/office/drawing/2014/main" id="{9EB144A2-C9E4-5922-B5A4-EE9F0E5B5790}"/>
            </a:ext>
          </a:extLst>
        </xdr:cNvPr>
        <xdr:cNvCxnSpPr/>
      </xdr:nvCxnSpPr>
      <xdr:spPr>
        <a:xfrm flipH="1">
          <a:off x="5314686" y="16337090"/>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148</xdr:row>
      <xdr:rowOff>48406</xdr:rowOff>
    </xdr:from>
    <xdr:to>
      <xdr:col>23</xdr:col>
      <xdr:colOff>2250</xdr:colOff>
      <xdr:row>148</xdr:row>
      <xdr:rowOff>48406</xdr:rowOff>
    </xdr:to>
    <xdr:cxnSp macro="">
      <xdr:nvCxnSpPr>
        <xdr:cNvPr id="82" name="Přímá spojovací šipka 4">
          <a:extLst>
            <a:ext uri="{FF2B5EF4-FFF2-40B4-BE49-F238E27FC236}">
              <a16:creationId xmlns:a16="http://schemas.microsoft.com/office/drawing/2014/main" id="{A3C30BDE-E810-1A23-B234-4EA7E0440243}"/>
            </a:ext>
          </a:extLst>
        </xdr:cNvPr>
        <xdr:cNvCxnSpPr/>
      </xdr:nvCxnSpPr>
      <xdr:spPr>
        <a:xfrm>
          <a:off x="7483926" y="15427396"/>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137</xdr:row>
      <xdr:rowOff>1268</xdr:rowOff>
    </xdr:from>
    <xdr:to>
      <xdr:col>18</xdr:col>
      <xdr:colOff>3094</xdr:colOff>
      <xdr:row>148</xdr:row>
      <xdr:rowOff>1240</xdr:rowOff>
    </xdr:to>
    <xdr:cxnSp macro="">
      <xdr:nvCxnSpPr>
        <xdr:cNvPr id="83" name="Přímá spojovací šipka 24">
          <a:extLst>
            <a:ext uri="{FF2B5EF4-FFF2-40B4-BE49-F238E27FC236}">
              <a16:creationId xmlns:a16="http://schemas.microsoft.com/office/drawing/2014/main" id="{8A5815AD-6745-DF4A-C371-4899A3BE2CAD}"/>
            </a:ext>
          </a:extLst>
        </xdr:cNvPr>
        <xdr:cNvCxnSpPr/>
      </xdr:nvCxnSpPr>
      <xdr:spPr>
        <a:xfrm flipH="1">
          <a:off x="7439965" y="13865761"/>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3187</xdr:colOff>
      <xdr:row>149</xdr:row>
      <xdr:rowOff>1862</xdr:rowOff>
    </xdr:from>
    <xdr:to>
      <xdr:col>18</xdr:col>
      <xdr:colOff>3187</xdr:colOff>
      <xdr:row>158</xdr:row>
      <xdr:rowOff>1099</xdr:rowOff>
    </xdr:to>
    <xdr:cxnSp macro="">
      <xdr:nvCxnSpPr>
        <xdr:cNvPr id="84" name="Přímá spojovací šipka 28">
          <a:extLst>
            <a:ext uri="{FF2B5EF4-FFF2-40B4-BE49-F238E27FC236}">
              <a16:creationId xmlns:a16="http://schemas.microsoft.com/office/drawing/2014/main" id="{EAC27AB1-A530-970B-2342-D515D03ABFB5}"/>
            </a:ext>
          </a:extLst>
        </xdr:cNvPr>
        <xdr:cNvCxnSpPr/>
      </xdr:nvCxnSpPr>
      <xdr:spPr>
        <a:xfrm rot="16200000" flipH="1">
          <a:off x="6424592" y="16492626"/>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154</xdr:row>
      <xdr:rowOff>1023</xdr:rowOff>
    </xdr:from>
    <xdr:to>
      <xdr:col>9</xdr:col>
      <xdr:colOff>792</xdr:colOff>
      <xdr:row>154</xdr:row>
      <xdr:rowOff>1632</xdr:rowOff>
    </xdr:to>
    <xdr:cxnSp macro="">
      <xdr:nvCxnSpPr>
        <xdr:cNvPr id="85" name="Přímá spojovací šipka 39">
          <a:extLst>
            <a:ext uri="{FF2B5EF4-FFF2-40B4-BE49-F238E27FC236}">
              <a16:creationId xmlns:a16="http://schemas.microsoft.com/office/drawing/2014/main" id="{B7FB0566-00F4-9FF8-D868-B4A531415DE3}"/>
            </a:ext>
          </a:extLst>
        </xdr:cNvPr>
        <xdr:cNvCxnSpPr/>
      </xdr:nvCxnSpPr>
      <xdr:spPr>
        <a:xfrm flipV="1">
          <a:off x="2339869" y="16264942"/>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154</xdr:row>
      <xdr:rowOff>766</xdr:rowOff>
    </xdr:from>
    <xdr:to>
      <xdr:col>16</xdr:col>
      <xdr:colOff>2138</xdr:colOff>
      <xdr:row>154</xdr:row>
      <xdr:rowOff>2354</xdr:rowOff>
    </xdr:to>
    <xdr:cxnSp macro="">
      <xdr:nvCxnSpPr>
        <xdr:cNvPr id="86" name="Přímá spojovací šipka 26">
          <a:extLst>
            <a:ext uri="{FF2B5EF4-FFF2-40B4-BE49-F238E27FC236}">
              <a16:creationId xmlns:a16="http://schemas.microsoft.com/office/drawing/2014/main" id="{BEC2132C-338D-821A-DFEE-32DBC646242D}"/>
            </a:ext>
          </a:extLst>
        </xdr:cNvPr>
        <xdr:cNvCxnSpPr/>
      </xdr:nvCxnSpPr>
      <xdr:spPr>
        <a:xfrm>
          <a:off x="5372265" y="16264685"/>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666750</xdr:colOff>
          <xdr:row>144</xdr:row>
          <xdr:rowOff>28575</xdr:rowOff>
        </xdr:from>
        <xdr:to>
          <xdr:col>26</xdr:col>
          <xdr:colOff>800100</xdr:colOff>
          <xdr:row>145</xdr:row>
          <xdr:rowOff>142875</xdr:rowOff>
        </xdr:to>
        <xdr:sp macro="" textlink="">
          <xdr:nvSpPr>
            <xdr:cNvPr id="54353" name="Check Box 8273" hidden="1">
              <a:extLst>
                <a:ext uri="{63B3BB69-23CF-44E3-9099-C40C66FF867C}">
                  <a14:compatExt spid="_x0000_s54353"/>
                </a:ext>
                <a:ext uri="{FF2B5EF4-FFF2-40B4-BE49-F238E27FC236}">
                  <a16:creationId xmlns:a16="http://schemas.microsoft.com/office/drawing/2014/main" id="{00000000-0008-0000-1B00-000051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9</xdr:col>
      <xdr:colOff>1636</xdr:colOff>
      <xdr:row>208</xdr:row>
      <xdr:rowOff>3956</xdr:rowOff>
    </xdr:from>
    <xdr:to>
      <xdr:col>9</xdr:col>
      <xdr:colOff>2630</xdr:colOff>
      <xdr:row>212</xdr:row>
      <xdr:rowOff>2988</xdr:rowOff>
    </xdr:to>
    <xdr:cxnSp macro="">
      <xdr:nvCxnSpPr>
        <xdr:cNvPr id="87" name="Přímá spojovací šipka 2">
          <a:extLst>
            <a:ext uri="{FF2B5EF4-FFF2-40B4-BE49-F238E27FC236}">
              <a16:creationId xmlns:a16="http://schemas.microsoft.com/office/drawing/2014/main" id="{BC45EE44-77C5-7977-DA87-9EF0860720B3}"/>
            </a:ext>
          </a:extLst>
        </xdr:cNvPr>
        <xdr:cNvCxnSpPr/>
      </xdr:nvCxnSpPr>
      <xdr:spPr>
        <a:xfrm flipH="1">
          <a:off x="5314686" y="24925278"/>
          <a:ext cx="1988" cy="1172960"/>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202</xdr:row>
      <xdr:rowOff>84284</xdr:rowOff>
    </xdr:from>
    <xdr:to>
      <xdr:col>23</xdr:col>
      <xdr:colOff>2250</xdr:colOff>
      <xdr:row>202</xdr:row>
      <xdr:rowOff>84284</xdr:rowOff>
    </xdr:to>
    <xdr:cxnSp macro="">
      <xdr:nvCxnSpPr>
        <xdr:cNvPr id="88" name="Přímá spojovací šipka 4">
          <a:extLst>
            <a:ext uri="{FF2B5EF4-FFF2-40B4-BE49-F238E27FC236}">
              <a16:creationId xmlns:a16="http://schemas.microsoft.com/office/drawing/2014/main" id="{8C52C620-9EF1-172E-BD24-8CAA8A10B386}"/>
            </a:ext>
          </a:extLst>
        </xdr:cNvPr>
        <xdr:cNvCxnSpPr/>
      </xdr:nvCxnSpPr>
      <xdr:spPr>
        <a:xfrm>
          <a:off x="7483926" y="24015585"/>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191</xdr:row>
      <xdr:rowOff>4552</xdr:rowOff>
    </xdr:from>
    <xdr:to>
      <xdr:col>18</xdr:col>
      <xdr:colOff>3094</xdr:colOff>
      <xdr:row>202</xdr:row>
      <xdr:rowOff>1835</xdr:rowOff>
    </xdr:to>
    <xdr:cxnSp macro="">
      <xdr:nvCxnSpPr>
        <xdr:cNvPr id="89" name="Přímá spojovací šipka 24">
          <a:extLst>
            <a:ext uri="{FF2B5EF4-FFF2-40B4-BE49-F238E27FC236}">
              <a16:creationId xmlns:a16="http://schemas.microsoft.com/office/drawing/2014/main" id="{68C205A4-AD7F-846E-5357-E584A127D52A}"/>
            </a:ext>
          </a:extLst>
        </xdr:cNvPr>
        <xdr:cNvCxnSpPr/>
      </xdr:nvCxnSpPr>
      <xdr:spPr>
        <a:xfrm flipH="1">
          <a:off x="7439965" y="22453949"/>
          <a:ext cx="5378" cy="151767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3187</xdr:colOff>
      <xdr:row>203</xdr:row>
      <xdr:rowOff>1756</xdr:rowOff>
    </xdr:from>
    <xdr:to>
      <xdr:col>18</xdr:col>
      <xdr:colOff>3187</xdr:colOff>
      <xdr:row>212</xdr:row>
      <xdr:rowOff>2430</xdr:rowOff>
    </xdr:to>
    <xdr:cxnSp macro="">
      <xdr:nvCxnSpPr>
        <xdr:cNvPr id="90" name="Přímá spojovací šipka 28">
          <a:extLst>
            <a:ext uri="{FF2B5EF4-FFF2-40B4-BE49-F238E27FC236}">
              <a16:creationId xmlns:a16="http://schemas.microsoft.com/office/drawing/2014/main" id="{088DADF9-5385-A54D-1623-8FA6C0416B10}"/>
            </a:ext>
          </a:extLst>
        </xdr:cNvPr>
        <xdr:cNvCxnSpPr/>
      </xdr:nvCxnSpPr>
      <xdr:spPr>
        <a:xfrm rot="16200000" flipH="1">
          <a:off x="6424592" y="25080815"/>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208</xdr:row>
      <xdr:rowOff>1023</xdr:rowOff>
    </xdr:from>
    <xdr:to>
      <xdr:col>9</xdr:col>
      <xdr:colOff>792</xdr:colOff>
      <xdr:row>208</xdr:row>
      <xdr:rowOff>1632</xdr:rowOff>
    </xdr:to>
    <xdr:cxnSp macro="">
      <xdr:nvCxnSpPr>
        <xdr:cNvPr id="91" name="Přímá spojovací šipka 39">
          <a:extLst>
            <a:ext uri="{FF2B5EF4-FFF2-40B4-BE49-F238E27FC236}">
              <a16:creationId xmlns:a16="http://schemas.microsoft.com/office/drawing/2014/main" id="{E388F873-C981-313B-84EF-59D36AD02689}"/>
            </a:ext>
          </a:extLst>
        </xdr:cNvPr>
        <xdr:cNvCxnSpPr/>
      </xdr:nvCxnSpPr>
      <xdr:spPr>
        <a:xfrm flipV="1">
          <a:off x="2339869" y="24853130"/>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208</xdr:row>
      <xdr:rowOff>766</xdr:rowOff>
    </xdr:from>
    <xdr:to>
      <xdr:col>16</xdr:col>
      <xdr:colOff>2138</xdr:colOff>
      <xdr:row>208</xdr:row>
      <xdr:rowOff>2354</xdr:rowOff>
    </xdr:to>
    <xdr:cxnSp macro="">
      <xdr:nvCxnSpPr>
        <xdr:cNvPr id="92" name="Přímá spojovací šipka 26">
          <a:extLst>
            <a:ext uri="{FF2B5EF4-FFF2-40B4-BE49-F238E27FC236}">
              <a16:creationId xmlns:a16="http://schemas.microsoft.com/office/drawing/2014/main" id="{1BB45008-86AE-51F9-54DA-5A43D1C786DE}"/>
            </a:ext>
          </a:extLst>
        </xdr:cNvPr>
        <xdr:cNvCxnSpPr/>
      </xdr:nvCxnSpPr>
      <xdr:spPr>
        <a:xfrm>
          <a:off x="5372265" y="24852873"/>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666750</xdr:colOff>
          <xdr:row>198</xdr:row>
          <xdr:rowOff>28575</xdr:rowOff>
        </xdr:from>
        <xdr:to>
          <xdr:col>26</xdr:col>
          <xdr:colOff>800100</xdr:colOff>
          <xdr:row>200</xdr:row>
          <xdr:rowOff>0</xdr:rowOff>
        </xdr:to>
        <xdr:sp macro="" textlink="">
          <xdr:nvSpPr>
            <xdr:cNvPr id="54356" name="Check Box 8276" hidden="1">
              <a:extLst>
                <a:ext uri="{63B3BB69-23CF-44E3-9099-C40C66FF867C}">
                  <a14:compatExt spid="_x0000_s54356"/>
                </a:ext>
                <a:ext uri="{FF2B5EF4-FFF2-40B4-BE49-F238E27FC236}">
                  <a16:creationId xmlns:a16="http://schemas.microsoft.com/office/drawing/2014/main" id="{00000000-0008-0000-1B00-000054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9</xdr:col>
      <xdr:colOff>1636</xdr:colOff>
      <xdr:row>262</xdr:row>
      <xdr:rowOff>2051</xdr:rowOff>
    </xdr:from>
    <xdr:to>
      <xdr:col>9</xdr:col>
      <xdr:colOff>2630</xdr:colOff>
      <xdr:row>266</xdr:row>
      <xdr:rowOff>1391</xdr:rowOff>
    </xdr:to>
    <xdr:cxnSp macro="">
      <xdr:nvCxnSpPr>
        <xdr:cNvPr id="93" name="Přímá spojovací šipka 2">
          <a:extLst>
            <a:ext uri="{FF2B5EF4-FFF2-40B4-BE49-F238E27FC236}">
              <a16:creationId xmlns:a16="http://schemas.microsoft.com/office/drawing/2014/main" id="{CA89A508-3519-AFE7-7971-92A8F96773A0}"/>
            </a:ext>
          </a:extLst>
        </xdr:cNvPr>
        <xdr:cNvCxnSpPr/>
      </xdr:nvCxnSpPr>
      <xdr:spPr>
        <a:xfrm flipH="1">
          <a:off x="5314686" y="33513466"/>
          <a:ext cx="1988" cy="1172960"/>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256</xdr:row>
      <xdr:rowOff>41104</xdr:rowOff>
    </xdr:from>
    <xdr:to>
      <xdr:col>23</xdr:col>
      <xdr:colOff>2250</xdr:colOff>
      <xdr:row>256</xdr:row>
      <xdr:rowOff>90069</xdr:rowOff>
    </xdr:to>
    <xdr:cxnSp macro="">
      <xdr:nvCxnSpPr>
        <xdr:cNvPr id="94" name="Přímá spojovací šipka 4">
          <a:extLst>
            <a:ext uri="{FF2B5EF4-FFF2-40B4-BE49-F238E27FC236}">
              <a16:creationId xmlns:a16="http://schemas.microsoft.com/office/drawing/2014/main" id="{1029111C-3FE5-2AF6-F5DC-51890202A56F}"/>
            </a:ext>
          </a:extLst>
        </xdr:cNvPr>
        <xdr:cNvCxnSpPr/>
      </xdr:nvCxnSpPr>
      <xdr:spPr>
        <a:xfrm>
          <a:off x="7483926" y="32603773"/>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245</xdr:row>
      <xdr:rowOff>2142</xdr:rowOff>
    </xdr:from>
    <xdr:to>
      <xdr:col>18</xdr:col>
      <xdr:colOff>3094</xdr:colOff>
      <xdr:row>256</xdr:row>
      <xdr:rowOff>721</xdr:rowOff>
    </xdr:to>
    <xdr:cxnSp macro="">
      <xdr:nvCxnSpPr>
        <xdr:cNvPr id="95" name="Přímá spojovací šipka 24">
          <a:extLst>
            <a:ext uri="{FF2B5EF4-FFF2-40B4-BE49-F238E27FC236}">
              <a16:creationId xmlns:a16="http://schemas.microsoft.com/office/drawing/2014/main" id="{EEDD4FB2-7831-7736-5866-724A74D60368}"/>
            </a:ext>
          </a:extLst>
        </xdr:cNvPr>
        <xdr:cNvCxnSpPr/>
      </xdr:nvCxnSpPr>
      <xdr:spPr>
        <a:xfrm flipH="1">
          <a:off x="7439965" y="31042137"/>
          <a:ext cx="5378" cy="1517675"/>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3187</xdr:colOff>
      <xdr:row>257</xdr:row>
      <xdr:rowOff>1756</xdr:rowOff>
    </xdr:from>
    <xdr:to>
      <xdr:col>18</xdr:col>
      <xdr:colOff>3187</xdr:colOff>
      <xdr:row>266</xdr:row>
      <xdr:rowOff>1612</xdr:rowOff>
    </xdr:to>
    <xdr:cxnSp macro="">
      <xdr:nvCxnSpPr>
        <xdr:cNvPr id="96" name="Přímá spojovací šipka 28">
          <a:extLst>
            <a:ext uri="{FF2B5EF4-FFF2-40B4-BE49-F238E27FC236}">
              <a16:creationId xmlns:a16="http://schemas.microsoft.com/office/drawing/2014/main" id="{5779C030-37EF-9CFA-2785-8869100128BA}"/>
            </a:ext>
          </a:extLst>
        </xdr:cNvPr>
        <xdr:cNvCxnSpPr/>
      </xdr:nvCxnSpPr>
      <xdr:spPr>
        <a:xfrm rot="16200000" flipH="1">
          <a:off x="6424592" y="33669003"/>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262</xdr:row>
      <xdr:rowOff>1023</xdr:rowOff>
    </xdr:from>
    <xdr:to>
      <xdr:col>9</xdr:col>
      <xdr:colOff>792</xdr:colOff>
      <xdr:row>262</xdr:row>
      <xdr:rowOff>1632</xdr:rowOff>
    </xdr:to>
    <xdr:cxnSp macro="">
      <xdr:nvCxnSpPr>
        <xdr:cNvPr id="97" name="Přímá spojovací šipka 39">
          <a:extLst>
            <a:ext uri="{FF2B5EF4-FFF2-40B4-BE49-F238E27FC236}">
              <a16:creationId xmlns:a16="http://schemas.microsoft.com/office/drawing/2014/main" id="{4BD1D178-CB51-9112-1DCA-99C4335EAA6E}"/>
            </a:ext>
          </a:extLst>
        </xdr:cNvPr>
        <xdr:cNvCxnSpPr/>
      </xdr:nvCxnSpPr>
      <xdr:spPr>
        <a:xfrm flipV="1">
          <a:off x="2339869" y="33441318"/>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262</xdr:row>
      <xdr:rowOff>766</xdr:rowOff>
    </xdr:from>
    <xdr:to>
      <xdr:col>16</xdr:col>
      <xdr:colOff>2138</xdr:colOff>
      <xdr:row>262</xdr:row>
      <xdr:rowOff>2354</xdr:rowOff>
    </xdr:to>
    <xdr:cxnSp macro="">
      <xdr:nvCxnSpPr>
        <xdr:cNvPr id="98" name="Přímá spojovací šipka 26">
          <a:extLst>
            <a:ext uri="{FF2B5EF4-FFF2-40B4-BE49-F238E27FC236}">
              <a16:creationId xmlns:a16="http://schemas.microsoft.com/office/drawing/2014/main" id="{A4384C4B-7B11-1BAD-5263-D1BA8C0AA289}"/>
            </a:ext>
          </a:extLst>
        </xdr:cNvPr>
        <xdr:cNvCxnSpPr/>
      </xdr:nvCxnSpPr>
      <xdr:spPr>
        <a:xfrm>
          <a:off x="5372265" y="33441061"/>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600075</xdr:colOff>
          <xdr:row>251</xdr:row>
          <xdr:rowOff>257175</xdr:rowOff>
        </xdr:from>
        <xdr:to>
          <xdr:col>26</xdr:col>
          <xdr:colOff>838200</xdr:colOff>
          <xdr:row>253</xdr:row>
          <xdr:rowOff>9525</xdr:rowOff>
        </xdr:to>
        <xdr:sp macro="" textlink="">
          <xdr:nvSpPr>
            <xdr:cNvPr id="54359" name="Check Box 8279" hidden="1">
              <a:extLst>
                <a:ext uri="{63B3BB69-23CF-44E3-9099-C40C66FF867C}">
                  <a14:compatExt spid="_x0000_s54359"/>
                </a:ext>
                <a:ext uri="{FF2B5EF4-FFF2-40B4-BE49-F238E27FC236}">
                  <a16:creationId xmlns:a16="http://schemas.microsoft.com/office/drawing/2014/main" id="{00000000-0008-0000-1B00-000057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9</xdr:col>
      <xdr:colOff>1636</xdr:colOff>
      <xdr:row>316</xdr:row>
      <xdr:rowOff>464</xdr:rowOff>
    </xdr:from>
    <xdr:to>
      <xdr:col>9</xdr:col>
      <xdr:colOff>2630</xdr:colOff>
      <xdr:row>320</xdr:row>
      <xdr:rowOff>591</xdr:rowOff>
    </xdr:to>
    <xdr:cxnSp macro="">
      <xdr:nvCxnSpPr>
        <xdr:cNvPr id="99" name="Přímá spojovací šipka 2">
          <a:extLst>
            <a:ext uri="{FF2B5EF4-FFF2-40B4-BE49-F238E27FC236}">
              <a16:creationId xmlns:a16="http://schemas.microsoft.com/office/drawing/2014/main" id="{9BCF019C-721E-E45D-7C05-7A35E2157BD6}"/>
            </a:ext>
          </a:extLst>
        </xdr:cNvPr>
        <xdr:cNvCxnSpPr/>
      </xdr:nvCxnSpPr>
      <xdr:spPr>
        <a:xfrm flipH="1">
          <a:off x="5314686" y="42101655"/>
          <a:ext cx="1988" cy="117295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1335</xdr:colOff>
      <xdr:row>310</xdr:row>
      <xdr:rowOff>48724</xdr:rowOff>
    </xdr:from>
    <xdr:to>
      <xdr:col>23</xdr:col>
      <xdr:colOff>2250</xdr:colOff>
      <xdr:row>310</xdr:row>
      <xdr:rowOff>48724</xdr:rowOff>
    </xdr:to>
    <xdr:cxnSp macro="">
      <xdr:nvCxnSpPr>
        <xdr:cNvPr id="100" name="Přímá spojovací šipka 4">
          <a:extLst>
            <a:ext uri="{FF2B5EF4-FFF2-40B4-BE49-F238E27FC236}">
              <a16:creationId xmlns:a16="http://schemas.microsoft.com/office/drawing/2014/main" id="{677A6D14-951B-0330-E8ED-12A5880625C9}"/>
            </a:ext>
          </a:extLst>
        </xdr:cNvPr>
        <xdr:cNvCxnSpPr/>
      </xdr:nvCxnSpPr>
      <xdr:spPr>
        <a:xfrm>
          <a:off x="7483926" y="41191961"/>
          <a:ext cx="1222251" cy="410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3094</xdr:colOff>
      <xdr:row>299</xdr:row>
      <xdr:rowOff>2142</xdr:rowOff>
    </xdr:from>
    <xdr:to>
      <xdr:col>18</xdr:col>
      <xdr:colOff>3094</xdr:colOff>
      <xdr:row>310</xdr:row>
      <xdr:rowOff>1444</xdr:rowOff>
    </xdr:to>
    <xdr:cxnSp macro="">
      <xdr:nvCxnSpPr>
        <xdr:cNvPr id="101" name="Přímá spojovací šipka 24">
          <a:extLst>
            <a:ext uri="{FF2B5EF4-FFF2-40B4-BE49-F238E27FC236}">
              <a16:creationId xmlns:a16="http://schemas.microsoft.com/office/drawing/2014/main" id="{6C7F17A7-165F-7486-1098-EC69ED346FDA}"/>
            </a:ext>
          </a:extLst>
        </xdr:cNvPr>
        <xdr:cNvCxnSpPr/>
      </xdr:nvCxnSpPr>
      <xdr:spPr>
        <a:xfrm flipH="1">
          <a:off x="7439965" y="39630326"/>
          <a:ext cx="5378" cy="1517674"/>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3187</xdr:colOff>
      <xdr:row>311</xdr:row>
      <xdr:rowOff>803</xdr:rowOff>
    </xdr:from>
    <xdr:to>
      <xdr:col>18</xdr:col>
      <xdr:colOff>3187</xdr:colOff>
      <xdr:row>320</xdr:row>
      <xdr:rowOff>960</xdr:rowOff>
    </xdr:to>
    <xdr:cxnSp macro="">
      <xdr:nvCxnSpPr>
        <xdr:cNvPr id="102" name="Přímá spojovací šipka 28">
          <a:extLst>
            <a:ext uri="{FF2B5EF4-FFF2-40B4-BE49-F238E27FC236}">
              <a16:creationId xmlns:a16="http://schemas.microsoft.com/office/drawing/2014/main" id="{F00FF0D7-457A-2F1C-1034-CC17B7DB5ACB}"/>
            </a:ext>
          </a:extLst>
        </xdr:cNvPr>
        <xdr:cNvCxnSpPr/>
      </xdr:nvCxnSpPr>
      <xdr:spPr>
        <a:xfrm rot="16200000" flipH="1">
          <a:off x="6424592" y="42257191"/>
          <a:ext cx="2032957" cy="2026"/>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329</xdr:colOff>
      <xdr:row>316</xdr:row>
      <xdr:rowOff>1023</xdr:rowOff>
    </xdr:from>
    <xdr:to>
      <xdr:col>9</xdr:col>
      <xdr:colOff>792</xdr:colOff>
      <xdr:row>316</xdr:row>
      <xdr:rowOff>1632</xdr:rowOff>
    </xdr:to>
    <xdr:cxnSp macro="">
      <xdr:nvCxnSpPr>
        <xdr:cNvPr id="103" name="Přímá spojovací šipka 39">
          <a:extLst>
            <a:ext uri="{FF2B5EF4-FFF2-40B4-BE49-F238E27FC236}">
              <a16:creationId xmlns:a16="http://schemas.microsoft.com/office/drawing/2014/main" id="{711D98B7-F8DD-895C-BC2D-D0EB011DDC24}"/>
            </a:ext>
          </a:extLst>
        </xdr:cNvPr>
        <xdr:cNvCxnSpPr/>
      </xdr:nvCxnSpPr>
      <xdr:spPr>
        <a:xfrm flipV="1">
          <a:off x="2339869" y="42029507"/>
          <a:ext cx="2925294" cy="609"/>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1772</xdr:colOff>
      <xdr:row>316</xdr:row>
      <xdr:rowOff>766</xdr:rowOff>
    </xdr:from>
    <xdr:to>
      <xdr:col>16</xdr:col>
      <xdr:colOff>2138</xdr:colOff>
      <xdr:row>316</xdr:row>
      <xdr:rowOff>2354</xdr:rowOff>
    </xdr:to>
    <xdr:cxnSp macro="">
      <xdr:nvCxnSpPr>
        <xdr:cNvPr id="104" name="Přímá spojovací šipka 26">
          <a:extLst>
            <a:ext uri="{FF2B5EF4-FFF2-40B4-BE49-F238E27FC236}">
              <a16:creationId xmlns:a16="http://schemas.microsoft.com/office/drawing/2014/main" id="{DFB17F67-18CA-E2E0-AC43-AF3F1DDCA0C8}"/>
            </a:ext>
          </a:extLst>
        </xdr:cNvPr>
        <xdr:cNvCxnSpPr/>
      </xdr:nvCxnSpPr>
      <xdr:spPr>
        <a:xfrm>
          <a:off x="5372265" y="42029250"/>
          <a:ext cx="1514605" cy="1588"/>
        </a:xfrm>
        <a:prstGeom prst="straightConnector1">
          <a:avLst/>
        </a:prstGeom>
        <a:ln>
          <a:solidFill>
            <a:srgbClr val="00206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666750</xdr:colOff>
          <xdr:row>306</xdr:row>
          <xdr:rowOff>28575</xdr:rowOff>
        </xdr:from>
        <xdr:to>
          <xdr:col>26</xdr:col>
          <xdr:colOff>800100</xdr:colOff>
          <xdr:row>308</xdr:row>
          <xdr:rowOff>0</xdr:rowOff>
        </xdr:to>
        <xdr:sp macro="" textlink="">
          <xdr:nvSpPr>
            <xdr:cNvPr id="54362" name="Check Box 8282" hidden="1">
              <a:extLst>
                <a:ext uri="{63B3BB69-23CF-44E3-9099-C40C66FF867C}">
                  <a14:compatExt spid="_x0000_s54362"/>
                </a:ext>
                <a:ext uri="{FF2B5EF4-FFF2-40B4-BE49-F238E27FC236}">
                  <a16:creationId xmlns:a16="http://schemas.microsoft.com/office/drawing/2014/main" id="{00000000-0008-0000-1B00-00005A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666750</xdr:colOff>
          <xdr:row>90</xdr:row>
          <xdr:rowOff>28575</xdr:rowOff>
        </xdr:from>
        <xdr:to>
          <xdr:col>26</xdr:col>
          <xdr:colOff>800100</xdr:colOff>
          <xdr:row>91</xdr:row>
          <xdr:rowOff>123825</xdr:rowOff>
        </xdr:to>
        <xdr:sp macro="" textlink="">
          <xdr:nvSpPr>
            <xdr:cNvPr id="54385" name="Check Box 8305" hidden="1">
              <a:extLst>
                <a:ext uri="{63B3BB69-23CF-44E3-9099-C40C66FF867C}">
                  <a14:compatExt spid="_x0000_s54385"/>
                </a:ext>
                <a:ext uri="{FF2B5EF4-FFF2-40B4-BE49-F238E27FC236}">
                  <a16:creationId xmlns:a16="http://schemas.microsoft.com/office/drawing/2014/main" id="{00000000-0008-0000-1B00-000071D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257175</xdr:colOff>
      <xdr:row>0</xdr:row>
      <xdr:rowOff>0</xdr:rowOff>
    </xdr:from>
    <xdr:to>
      <xdr:col>3</xdr:col>
      <xdr:colOff>9525</xdr:colOff>
      <xdr:row>6</xdr:row>
      <xdr:rowOff>0</xdr:rowOff>
    </xdr:to>
    <xdr:pic>
      <xdr:nvPicPr>
        <xdr:cNvPr id="918188" name="Obrázek 2">
          <a:extLst>
            <a:ext uri="{FF2B5EF4-FFF2-40B4-BE49-F238E27FC236}">
              <a16:creationId xmlns:a16="http://schemas.microsoft.com/office/drawing/2014/main" id="{3B335C0F-85D7-7B73-F16F-F46ECC5CE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0"/>
          <a:ext cx="323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0</xdr:row>
      <xdr:rowOff>0</xdr:rowOff>
    </xdr:from>
    <xdr:to>
      <xdr:col>7</xdr:col>
      <xdr:colOff>9525</xdr:colOff>
      <xdr:row>6</xdr:row>
      <xdr:rowOff>0</xdr:rowOff>
    </xdr:to>
    <xdr:pic>
      <xdr:nvPicPr>
        <xdr:cNvPr id="918189" name="Obrázek 3">
          <a:extLst>
            <a:ext uri="{FF2B5EF4-FFF2-40B4-BE49-F238E27FC236}">
              <a16:creationId xmlns:a16="http://schemas.microsoft.com/office/drawing/2014/main" id="{4BC21120-E5EC-59A6-F416-46B35BB24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0"/>
          <a:ext cx="25146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23</xdr:row>
      <xdr:rowOff>161925</xdr:rowOff>
    </xdr:from>
    <xdr:to>
      <xdr:col>5</xdr:col>
      <xdr:colOff>9525</xdr:colOff>
      <xdr:row>25</xdr:row>
      <xdr:rowOff>19050</xdr:rowOff>
    </xdr:to>
    <xdr:pic>
      <xdr:nvPicPr>
        <xdr:cNvPr id="918190" name="Obrázek 6">
          <a:extLst>
            <a:ext uri="{FF2B5EF4-FFF2-40B4-BE49-F238E27FC236}">
              <a16:creationId xmlns:a16="http://schemas.microsoft.com/office/drawing/2014/main" id="{7D044392-1F77-391D-DD27-2C403D6EA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1225" y="4305300"/>
          <a:ext cx="552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57150</xdr:rowOff>
    </xdr:from>
    <xdr:to>
      <xdr:col>5</xdr:col>
      <xdr:colOff>9525</xdr:colOff>
      <xdr:row>7</xdr:row>
      <xdr:rowOff>9525</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100965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2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257175</xdr:colOff>
      <xdr:row>0</xdr:row>
      <xdr:rowOff>0</xdr:rowOff>
    </xdr:from>
    <xdr:to>
      <xdr:col>2</xdr:col>
      <xdr:colOff>342900</xdr:colOff>
      <xdr:row>6</xdr:row>
      <xdr:rowOff>0</xdr:rowOff>
    </xdr:to>
    <xdr:pic>
      <xdr:nvPicPr>
        <xdr:cNvPr id="865110" name="Obrázek 2">
          <a:extLst>
            <a:ext uri="{FF2B5EF4-FFF2-40B4-BE49-F238E27FC236}">
              <a16:creationId xmlns:a16="http://schemas.microsoft.com/office/drawing/2014/main" id="{5B543333-C0D7-34EC-EA31-CCA3A1563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0"/>
          <a:ext cx="85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0</xdr:row>
      <xdr:rowOff>0</xdr:rowOff>
    </xdr:from>
    <xdr:to>
      <xdr:col>6</xdr:col>
      <xdr:colOff>161925</xdr:colOff>
      <xdr:row>6</xdr:row>
      <xdr:rowOff>9525</xdr:rowOff>
    </xdr:to>
    <xdr:pic>
      <xdr:nvPicPr>
        <xdr:cNvPr id="865111" name="Obrázek 3">
          <a:extLst>
            <a:ext uri="{FF2B5EF4-FFF2-40B4-BE49-F238E27FC236}">
              <a16:creationId xmlns:a16="http://schemas.microsoft.com/office/drawing/2014/main" id="{6B54FD25-46CC-A895-4ADB-21F4E673E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0"/>
          <a:ext cx="2095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672</xdr:row>
      <xdr:rowOff>0</xdr:rowOff>
    </xdr:from>
    <xdr:to>
      <xdr:col>2</xdr:col>
      <xdr:colOff>114614</xdr:colOff>
      <xdr:row>676</xdr:row>
      <xdr:rowOff>112517</xdr:rowOff>
    </xdr:to>
    <xdr:pic>
      <xdr:nvPicPr>
        <xdr:cNvPr id="2" name="Obrázek 1">
          <a:extLst>
            <a:ext uri="{FF2B5EF4-FFF2-40B4-BE49-F238E27FC236}">
              <a16:creationId xmlns:a16="http://schemas.microsoft.com/office/drawing/2014/main" id="{44FB1F37-E7C0-46BE-87D5-D8036176E4F8}"/>
            </a:ext>
          </a:extLst>
        </xdr:cNvPr>
        <xdr:cNvPicPr>
          <a:picLocks noChangeAspect="1"/>
        </xdr:cNvPicPr>
      </xdr:nvPicPr>
      <xdr:blipFill>
        <a:blip xmlns:r="http://schemas.openxmlformats.org/officeDocument/2006/relationships" r:embed="rId1"/>
        <a:stretch>
          <a:fillRect/>
        </a:stretch>
      </xdr:blipFill>
      <xdr:spPr>
        <a:xfrm>
          <a:off x="1095375" y="132892800"/>
          <a:ext cx="2248214" cy="874517"/>
        </a:xfrm>
        <a:prstGeom prst="rect">
          <a:avLst/>
        </a:prstGeom>
      </xdr:spPr>
    </xdr:pic>
    <xdr:clientData/>
  </xdr:twoCellAnchor>
  <xdr:twoCellAnchor editAs="oneCell">
    <xdr:from>
      <xdr:col>1</xdr:col>
      <xdr:colOff>0</xdr:colOff>
      <xdr:row>678</xdr:row>
      <xdr:rowOff>0</xdr:rowOff>
    </xdr:from>
    <xdr:to>
      <xdr:col>2</xdr:col>
      <xdr:colOff>38403</xdr:colOff>
      <xdr:row>682</xdr:row>
      <xdr:rowOff>143001</xdr:rowOff>
    </xdr:to>
    <xdr:pic>
      <xdr:nvPicPr>
        <xdr:cNvPr id="4" name="Obrázek 3">
          <a:extLst>
            <a:ext uri="{FF2B5EF4-FFF2-40B4-BE49-F238E27FC236}">
              <a16:creationId xmlns:a16="http://schemas.microsoft.com/office/drawing/2014/main" id="{A05BFB02-2813-42E6-5265-60E6D0407162}"/>
            </a:ext>
          </a:extLst>
        </xdr:cNvPr>
        <xdr:cNvPicPr>
          <a:picLocks noChangeAspect="1"/>
        </xdr:cNvPicPr>
      </xdr:nvPicPr>
      <xdr:blipFill>
        <a:blip xmlns:r="http://schemas.openxmlformats.org/officeDocument/2006/relationships" r:embed="rId2"/>
        <a:stretch>
          <a:fillRect/>
        </a:stretch>
      </xdr:blipFill>
      <xdr:spPr>
        <a:xfrm>
          <a:off x="1095375" y="134035800"/>
          <a:ext cx="2172003" cy="905001"/>
        </a:xfrm>
        <a:prstGeom prst="rect">
          <a:avLst/>
        </a:prstGeom>
      </xdr:spPr>
    </xdr:pic>
    <xdr:clientData/>
  </xdr:twoCellAnchor>
  <xdr:twoCellAnchor editAs="oneCell">
    <xdr:from>
      <xdr:col>1</xdr:col>
      <xdr:colOff>0</xdr:colOff>
      <xdr:row>684</xdr:row>
      <xdr:rowOff>0</xdr:rowOff>
    </xdr:from>
    <xdr:to>
      <xdr:col>2</xdr:col>
      <xdr:colOff>66982</xdr:colOff>
      <xdr:row>688</xdr:row>
      <xdr:rowOff>95370</xdr:rowOff>
    </xdr:to>
    <xdr:pic>
      <xdr:nvPicPr>
        <xdr:cNvPr id="6" name="Obrázek 5">
          <a:extLst>
            <a:ext uri="{FF2B5EF4-FFF2-40B4-BE49-F238E27FC236}">
              <a16:creationId xmlns:a16="http://schemas.microsoft.com/office/drawing/2014/main" id="{8936EC16-D33F-24A1-F5CB-8EA5AB08227B}"/>
            </a:ext>
          </a:extLst>
        </xdr:cNvPr>
        <xdr:cNvPicPr>
          <a:picLocks noChangeAspect="1"/>
        </xdr:cNvPicPr>
      </xdr:nvPicPr>
      <xdr:blipFill>
        <a:blip xmlns:r="http://schemas.openxmlformats.org/officeDocument/2006/relationships" r:embed="rId3"/>
        <a:stretch>
          <a:fillRect/>
        </a:stretch>
      </xdr:blipFill>
      <xdr:spPr>
        <a:xfrm>
          <a:off x="1095375" y="135178800"/>
          <a:ext cx="2200582" cy="857370"/>
        </a:xfrm>
        <a:prstGeom prst="rect">
          <a:avLst/>
        </a:prstGeom>
      </xdr:spPr>
    </xdr:pic>
    <xdr:clientData/>
  </xdr:twoCellAnchor>
  <xdr:twoCellAnchor editAs="oneCell">
    <xdr:from>
      <xdr:col>1</xdr:col>
      <xdr:colOff>0</xdr:colOff>
      <xdr:row>690</xdr:row>
      <xdr:rowOff>0</xdr:rowOff>
    </xdr:from>
    <xdr:to>
      <xdr:col>2</xdr:col>
      <xdr:colOff>47625</xdr:colOff>
      <xdr:row>694</xdr:row>
      <xdr:rowOff>121306</xdr:rowOff>
    </xdr:to>
    <xdr:pic>
      <xdr:nvPicPr>
        <xdr:cNvPr id="7" name="Obrázek 6">
          <a:extLst>
            <a:ext uri="{FF2B5EF4-FFF2-40B4-BE49-F238E27FC236}">
              <a16:creationId xmlns:a16="http://schemas.microsoft.com/office/drawing/2014/main" id="{88137AE0-9286-65B9-2302-F225D11CCB55}"/>
            </a:ext>
          </a:extLst>
        </xdr:cNvPr>
        <xdr:cNvPicPr>
          <a:picLocks noChangeAspect="1"/>
        </xdr:cNvPicPr>
      </xdr:nvPicPr>
      <xdr:blipFill>
        <a:blip xmlns:r="http://schemas.openxmlformats.org/officeDocument/2006/relationships" r:embed="rId4"/>
        <a:stretch>
          <a:fillRect/>
        </a:stretch>
      </xdr:blipFill>
      <xdr:spPr>
        <a:xfrm>
          <a:off x="1095375" y="136321800"/>
          <a:ext cx="2181225" cy="8833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5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5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135255</xdr:colOff>
          <xdr:row>16</xdr:row>
          <xdr:rowOff>137160</xdr:rowOff>
        </xdr:to>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948980"/>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60960</xdr:colOff>
          <xdr:row>26</xdr:row>
          <xdr:rowOff>173355</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948981"/>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330753" name="Check Box 1967" hidden="1">
              <a:extLst>
                <a:ext uri="{63B3BB69-23CF-44E3-9099-C40C66FF867C}">
                  <a14:compatExt spid="_x0000_s330753"/>
                </a:ext>
                <a:ext uri="{FF2B5EF4-FFF2-40B4-BE49-F238E27FC236}">
                  <a16:creationId xmlns:a16="http://schemas.microsoft.com/office/drawing/2014/main" id="{00000000-0008-0000-0800-0000010C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0757" name="Check Box 5" hidden="1">
              <a:extLst>
                <a:ext uri="{63B3BB69-23CF-44E3-9099-C40C66FF867C}">
                  <a14:compatExt spid="_x0000_s330757"/>
                </a:ext>
                <a:ext uri="{FF2B5EF4-FFF2-40B4-BE49-F238E27FC236}">
                  <a16:creationId xmlns:a16="http://schemas.microsoft.com/office/drawing/2014/main" id="{00000000-0008-0000-0800-00000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1389" name="Check Box 1967" hidden="1">
              <a:extLst>
                <a:ext uri="{63B3BB69-23CF-44E3-9099-C40C66FF867C}">
                  <a14:compatExt spid="_x0000_s781389"/>
                </a:ext>
                <a:ext uri="{FF2B5EF4-FFF2-40B4-BE49-F238E27FC236}">
                  <a16:creationId xmlns:a16="http://schemas.microsoft.com/office/drawing/2014/main" id="{00000000-0008-0000-0800-00004DEC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1390" name="Check Box 1102" hidden="1">
              <a:extLst>
                <a:ext uri="{63B3BB69-23CF-44E3-9099-C40C66FF867C}">
                  <a14:compatExt spid="_x0000_s781390"/>
                </a:ext>
                <a:ext uri="{FF2B5EF4-FFF2-40B4-BE49-F238E27FC236}">
                  <a16:creationId xmlns:a16="http://schemas.microsoft.com/office/drawing/2014/main" id="{00000000-0008-0000-0800-00004EE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104775</xdr:rowOff>
        </xdr:from>
        <xdr:to>
          <xdr:col>5</xdr:col>
          <xdr:colOff>285750</xdr:colOff>
          <xdr:row>7</xdr:row>
          <xdr:rowOff>295275</xdr:rowOff>
        </xdr:to>
        <xdr:sp macro="" textlink="">
          <xdr:nvSpPr>
            <xdr:cNvPr id="781391" name="Check Box 1103" hidden="1">
              <a:extLst>
                <a:ext uri="{63B3BB69-23CF-44E3-9099-C40C66FF867C}">
                  <a14:compatExt spid="_x0000_s781391"/>
                </a:ext>
                <a:ext uri="{FF2B5EF4-FFF2-40B4-BE49-F238E27FC236}">
                  <a16:creationId xmlns:a16="http://schemas.microsoft.com/office/drawing/2014/main" id="{00000000-0008-0000-0800-00004FE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1414" name="Check Box 1967" hidden="1">
              <a:extLst>
                <a:ext uri="{63B3BB69-23CF-44E3-9099-C40C66FF867C}">
                  <a14:compatExt spid="_x0000_s781414"/>
                </a:ext>
                <a:ext uri="{FF2B5EF4-FFF2-40B4-BE49-F238E27FC236}">
                  <a16:creationId xmlns:a16="http://schemas.microsoft.com/office/drawing/2014/main" id="{00000000-0008-0000-0800-000066EC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1415" name="Check Box 1127" hidden="1">
              <a:extLst>
                <a:ext uri="{63B3BB69-23CF-44E3-9099-C40C66FF867C}">
                  <a14:compatExt spid="_x0000_s781415"/>
                </a:ext>
                <a:ext uri="{FF2B5EF4-FFF2-40B4-BE49-F238E27FC236}">
                  <a16:creationId xmlns:a16="http://schemas.microsoft.com/office/drawing/2014/main" id="{00000000-0008-0000-0800-000067E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46194" name="Obrázek 7">
          <a:extLst>
            <a:ext uri="{FF2B5EF4-FFF2-40B4-BE49-F238E27FC236}">
              <a16:creationId xmlns:a16="http://schemas.microsoft.com/office/drawing/2014/main" id="{5037B63A-9A70-059E-8F39-1709A0642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1583" name="Check Box 1967" hidden="1">
              <a:extLst>
                <a:ext uri="{63B3BB69-23CF-44E3-9099-C40C66FF867C}">
                  <a14:compatExt spid="_x0000_s781583"/>
                </a:ext>
                <a:ext uri="{FF2B5EF4-FFF2-40B4-BE49-F238E27FC236}">
                  <a16:creationId xmlns:a16="http://schemas.microsoft.com/office/drawing/2014/main" id="{00000000-0008-0000-0800-00000FED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1584" name="Check Box 1296" hidden="1">
              <a:extLst>
                <a:ext uri="{63B3BB69-23CF-44E3-9099-C40C66FF867C}">
                  <a14:compatExt spid="_x0000_s781584"/>
                </a:ext>
                <a:ext uri="{FF2B5EF4-FFF2-40B4-BE49-F238E27FC236}">
                  <a16:creationId xmlns:a16="http://schemas.microsoft.com/office/drawing/2014/main" id="{00000000-0008-0000-0800-000010E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46195" name="Obrázek 7">
          <a:extLst>
            <a:ext uri="{FF2B5EF4-FFF2-40B4-BE49-F238E27FC236}">
              <a16:creationId xmlns:a16="http://schemas.microsoft.com/office/drawing/2014/main" id="{560CFC12-8CA7-C2A9-440E-E09B7930D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1586" name="Check Box 1967" hidden="1">
              <a:extLst>
                <a:ext uri="{63B3BB69-23CF-44E3-9099-C40C66FF867C}">
                  <a14:compatExt spid="_x0000_s781586"/>
                </a:ext>
                <a:ext uri="{FF2B5EF4-FFF2-40B4-BE49-F238E27FC236}">
                  <a16:creationId xmlns:a16="http://schemas.microsoft.com/office/drawing/2014/main" id="{00000000-0008-0000-0800-000012ED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1587" name="Check Box 1299" hidden="1">
              <a:extLst>
                <a:ext uri="{63B3BB69-23CF-44E3-9099-C40C66FF867C}">
                  <a14:compatExt spid="_x0000_s781587"/>
                </a:ext>
                <a:ext uri="{FF2B5EF4-FFF2-40B4-BE49-F238E27FC236}">
                  <a16:creationId xmlns:a16="http://schemas.microsoft.com/office/drawing/2014/main" id="{00000000-0008-0000-0800-000013E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432435</xdr:colOff>
      <xdr:row>4</xdr:row>
      <xdr:rowOff>0</xdr:rowOff>
    </xdr:to>
    <xdr:pic>
      <xdr:nvPicPr>
        <xdr:cNvPr id="2" name="Obrázek 7">
          <a:extLst>
            <a:ext uri="{FF2B5EF4-FFF2-40B4-BE49-F238E27FC236}">
              <a16:creationId xmlns:a16="http://schemas.microsoft.com/office/drawing/2014/main" id="{E9ADB243-29BA-4288-B08F-399000AFC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51435</xdr:colOff>
          <xdr:row>15</xdr:row>
          <xdr:rowOff>146685</xdr:rowOff>
        </xdr:from>
        <xdr:to>
          <xdr:col>41</xdr:col>
          <xdr:colOff>4868</xdr:colOff>
          <xdr:row>16</xdr:row>
          <xdr:rowOff>110279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992855"/>
                </a:ext>
              </a:extLst>
            </xdr:cNvPicPr>
          </xdr:nvPicPr>
          <xdr:blipFill>
            <a:blip xmlns:r="http://schemas.openxmlformats.org/officeDocument/2006/relationships" r:embed="rId2"/>
            <a:srcRect/>
            <a:stretch>
              <a:fillRect/>
            </a:stretch>
          </xdr:blipFill>
          <xdr:spPr bwMode="auto">
            <a:xfrm>
              <a:off x="9795510" y="3575685"/>
              <a:ext cx="499215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4233</xdr:colOff>
          <xdr:row>26</xdr:row>
          <xdr:rowOff>199390</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992856"/>
                </a:ext>
              </a:extLst>
            </xdr:cNvPicPr>
          </xdr:nvPicPr>
          <xdr:blipFill>
            <a:blip xmlns:r="http://schemas.openxmlformats.org/officeDocument/2006/relationships" r:embed="rId2"/>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1911" name="Check Box 1967" hidden="1">
              <a:extLst>
                <a:ext uri="{63B3BB69-23CF-44E3-9099-C40C66FF867C}">
                  <a14:compatExt spid="_x0000_s781911"/>
                </a:ext>
                <a:ext uri="{FF2B5EF4-FFF2-40B4-BE49-F238E27FC236}">
                  <a16:creationId xmlns:a16="http://schemas.microsoft.com/office/drawing/2014/main" id="{00000000-0008-0000-0800-000057EE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432435</xdr:colOff>
      <xdr:row>4</xdr:row>
      <xdr:rowOff>0</xdr:rowOff>
    </xdr:to>
    <xdr:pic>
      <xdr:nvPicPr>
        <xdr:cNvPr id="5" name="Obrázek 7">
          <a:extLst>
            <a:ext uri="{FF2B5EF4-FFF2-40B4-BE49-F238E27FC236}">
              <a16:creationId xmlns:a16="http://schemas.microsoft.com/office/drawing/2014/main" id="{35488DFD-9114-4C49-8572-A3E14E2F2E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92276" name="Check Box 1967" hidden="1">
              <a:extLst>
                <a:ext uri="{63B3BB69-23CF-44E3-9099-C40C66FF867C}">
                  <a14:compatExt spid="_x0000_s992276"/>
                </a:ext>
                <a:ext uri="{FF2B5EF4-FFF2-40B4-BE49-F238E27FC236}">
                  <a16:creationId xmlns:a16="http://schemas.microsoft.com/office/drawing/2014/main" id="{00000000-0008-0000-0800-000014240F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6" name="Obrázek 7">
          <a:extLst>
            <a:ext uri="{FF2B5EF4-FFF2-40B4-BE49-F238E27FC236}">
              <a16:creationId xmlns:a16="http://schemas.microsoft.com/office/drawing/2014/main" id="{F6968010-80DA-401E-B7F7-518A9A2F6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92283" name="Check Box 1967" hidden="1">
              <a:extLst>
                <a:ext uri="{63B3BB69-23CF-44E3-9099-C40C66FF867C}">
                  <a14:compatExt spid="_x0000_s992283"/>
                </a:ext>
                <a:ext uri="{FF2B5EF4-FFF2-40B4-BE49-F238E27FC236}">
                  <a16:creationId xmlns:a16="http://schemas.microsoft.com/office/drawing/2014/main" id="{00000000-0008-0000-0800-00001B240F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7" name="Obrázek 7">
          <a:extLst>
            <a:ext uri="{FF2B5EF4-FFF2-40B4-BE49-F238E27FC236}">
              <a16:creationId xmlns:a16="http://schemas.microsoft.com/office/drawing/2014/main" id="{55F93F1B-D24E-4370-A801-B57C6CBE7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47625</xdr:colOff>
          <xdr:row>15</xdr:row>
          <xdr:rowOff>142875</xdr:rowOff>
        </xdr:from>
        <xdr:to>
          <xdr:col>41</xdr:col>
          <xdr:colOff>9525</xdr:colOff>
          <xdr:row>16</xdr:row>
          <xdr:rowOff>114300</xdr:rowOff>
        </xdr:to>
        <xdr:pic>
          <xdr:nvPicPr>
            <xdr:cNvPr id="992335" name="Obrázek 2">
              <a:extLst>
                <a:ext uri="{FF2B5EF4-FFF2-40B4-BE49-F238E27FC236}">
                  <a16:creationId xmlns:a16="http://schemas.microsoft.com/office/drawing/2014/main" id="{7522131E-B328-DABE-6B92-E2360F9F373C}"/>
                </a:ext>
              </a:extLst>
            </xdr:cNvPr>
            <xdr:cNvPicPr>
              <a:picLocks noChangeAspect="1" noChangeArrowheads="1"/>
              <a:extLst>
                <a:ext uri="{84589F7E-364E-4C9E-8A38-B11213B215E9}">
                  <a14:cameraTool cellRange="kombinace_2!$CH$13" spid="_x0000_s992857"/>
                </a:ext>
              </a:extLst>
            </xdr:cNvPicPr>
          </xdr:nvPicPr>
          <xdr:blipFill>
            <a:blip xmlns:r="http://schemas.openxmlformats.org/officeDocument/2006/relationships" r:embed="rId2"/>
            <a:srcRect/>
            <a:stretch>
              <a:fillRect/>
            </a:stretch>
          </xdr:blipFill>
          <xdr:spPr bwMode="auto">
            <a:xfrm>
              <a:off x="9791700" y="3571875"/>
              <a:ext cx="500062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0</xdr:colOff>
          <xdr:row>26</xdr:row>
          <xdr:rowOff>200025</xdr:rowOff>
        </xdr:to>
        <xdr:pic>
          <xdr:nvPicPr>
            <xdr:cNvPr id="992336" name="Obrázek 3">
              <a:extLst>
                <a:ext uri="{FF2B5EF4-FFF2-40B4-BE49-F238E27FC236}">
                  <a16:creationId xmlns:a16="http://schemas.microsoft.com/office/drawing/2014/main" id="{C18CC9F4-34F5-7F91-53A5-86428EB8CAB2}"/>
                </a:ext>
              </a:extLst>
            </xdr:cNvPr>
            <xdr:cNvPicPr>
              <a:picLocks noChangeAspect="1" noChangeArrowheads="1"/>
              <a:extLst>
                <a:ext uri="{84589F7E-364E-4C9E-8A38-B11213B215E9}">
                  <a14:cameraTool cellRange="kombinace_2!$CH$14" spid="_x0000_s992858"/>
                </a:ext>
              </a:extLst>
            </xdr:cNvPicPr>
          </xdr:nvPicPr>
          <xdr:blipFill>
            <a:blip xmlns:r="http://schemas.openxmlformats.org/officeDocument/2006/relationships" r:embed="rId2"/>
            <a:srcRect/>
            <a:stretch>
              <a:fillRect/>
            </a:stretch>
          </xdr:blipFill>
          <xdr:spPr bwMode="auto">
            <a:xfrm>
              <a:off x="12220575" y="1133475"/>
              <a:ext cx="209550" cy="5010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331777" name="Check Box 1967" hidden="1">
              <a:extLst>
                <a:ext uri="{63B3BB69-23CF-44E3-9099-C40C66FF867C}">
                  <a14:compatExt spid="_x0000_s331777"/>
                </a:ext>
                <a:ext uri="{FF2B5EF4-FFF2-40B4-BE49-F238E27FC236}">
                  <a16:creationId xmlns:a16="http://schemas.microsoft.com/office/drawing/2014/main" id="{00000000-0008-0000-0A00-00000110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0A00-00000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2424" name="Check Box 1967" hidden="1">
              <a:extLst>
                <a:ext uri="{63B3BB69-23CF-44E3-9099-C40C66FF867C}">
                  <a14:compatExt spid="_x0000_s782424"/>
                </a:ext>
                <a:ext uri="{FF2B5EF4-FFF2-40B4-BE49-F238E27FC236}">
                  <a16:creationId xmlns:a16="http://schemas.microsoft.com/office/drawing/2014/main" id="{00000000-0008-0000-0A00-000058F0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2425" name="Check Box 1113" hidden="1">
              <a:extLst>
                <a:ext uri="{63B3BB69-23CF-44E3-9099-C40C66FF867C}">
                  <a14:compatExt spid="_x0000_s782425"/>
                </a:ext>
                <a:ext uri="{FF2B5EF4-FFF2-40B4-BE49-F238E27FC236}">
                  <a16:creationId xmlns:a16="http://schemas.microsoft.com/office/drawing/2014/main" id="{00000000-0008-0000-0A00-000059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A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2538" name="Check Box 1967" hidden="1">
              <a:extLst>
                <a:ext uri="{63B3BB69-23CF-44E3-9099-C40C66FF867C}">
                  <a14:compatExt spid="_x0000_s782538"/>
                </a:ext>
                <a:ext uri="{FF2B5EF4-FFF2-40B4-BE49-F238E27FC236}">
                  <a16:creationId xmlns:a16="http://schemas.microsoft.com/office/drawing/2014/main" id="{00000000-0008-0000-0A00-0000CAF0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2539" name="Check Box 1227" hidden="1">
              <a:extLst>
                <a:ext uri="{63B3BB69-23CF-44E3-9099-C40C66FF867C}">
                  <a14:compatExt spid="_x0000_s782539"/>
                </a:ext>
                <a:ext uri="{FF2B5EF4-FFF2-40B4-BE49-F238E27FC236}">
                  <a16:creationId xmlns:a16="http://schemas.microsoft.com/office/drawing/2014/main" id="{00000000-0008-0000-0A00-0000CB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888616" name="Obrázek 7">
          <a:extLst>
            <a:ext uri="{FF2B5EF4-FFF2-40B4-BE49-F238E27FC236}">
              <a16:creationId xmlns:a16="http://schemas.microsoft.com/office/drawing/2014/main" id="{25484519-1610-2725-67FA-1F3C94910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040" name="Check Box 1967" hidden="1">
              <a:extLst>
                <a:ext uri="{63B3BB69-23CF-44E3-9099-C40C66FF867C}">
                  <a14:compatExt spid="_x0000_s783040"/>
                </a:ext>
                <a:ext uri="{FF2B5EF4-FFF2-40B4-BE49-F238E27FC236}">
                  <a16:creationId xmlns:a16="http://schemas.microsoft.com/office/drawing/2014/main" id="{00000000-0008-0000-0A00-0000C0F2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888617" name="Obrázek 7">
          <a:extLst>
            <a:ext uri="{FF2B5EF4-FFF2-40B4-BE49-F238E27FC236}">
              <a16:creationId xmlns:a16="http://schemas.microsoft.com/office/drawing/2014/main" id="{21D6D0F4-26EF-4F20-29CF-936382DFA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043" name="Check Box 1967" hidden="1">
              <a:extLst>
                <a:ext uri="{63B3BB69-23CF-44E3-9099-C40C66FF867C}">
                  <a14:compatExt spid="_x0000_s783043"/>
                </a:ext>
                <a:ext uri="{FF2B5EF4-FFF2-40B4-BE49-F238E27FC236}">
                  <a16:creationId xmlns:a16="http://schemas.microsoft.com/office/drawing/2014/main" id="{00000000-0008-0000-0A00-0000C3F2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2" name="Obrázek 7">
          <a:extLst>
            <a:ext uri="{FF2B5EF4-FFF2-40B4-BE49-F238E27FC236}">
              <a16:creationId xmlns:a16="http://schemas.microsoft.com/office/drawing/2014/main" id="{F05ABB3F-8F7C-4ADA-BA90-4C4291C10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32</xdr:col>
          <xdr:colOff>209549</xdr:colOff>
          <xdr:row>6</xdr:row>
          <xdr:rowOff>24764</xdr:rowOff>
        </xdr:from>
        <xdr:to>
          <xdr:col>33</xdr:col>
          <xdr:colOff>98425</xdr:colOff>
          <xdr:row>27</xdr:row>
          <xdr:rowOff>1058</xdr:rowOff>
        </xdr:to>
        <xdr:pic>
          <xdr:nvPicPr>
            <xdr:cNvPr id="4" name="Obrázek 3">
              <a:extLst>
                <a:ext uri="{FF2B5EF4-FFF2-40B4-BE49-F238E27FC236}">
                  <a16:creationId xmlns:a16="http://schemas.microsoft.com/office/drawing/2014/main" id="{D214122A-F0C2-437E-8C58-1101B499D3A9}"/>
                </a:ext>
              </a:extLst>
            </xdr:cNvPr>
            <xdr:cNvPicPr>
              <a:picLocks noChangeAspect="1" noChangeArrowheads="1"/>
              <a:extLst>
                <a:ext uri="{84589F7E-364E-4C9E-8A38-B11213B215E9}">
                  <a14:cameraTool cellRange="kombinace_3!$CH$14" spid="_x0000_s949974"/>
                </a:ext>
              </a:extLst>
            </xdr:cNvPicPr>
          </xdr:nvPicPr>
          <xdr:blipFill>
            <a:blip xmlns:r="http://schemas.openxmlformats.org/officeDocument/2006/relationships" r:embed="rId2"/>
            <a:srcRect/>
            <a:stretch>
              <a:fillRect/>
            </a:stretch>
          </xdr:blipFill>
          <xdr:spPr bwMode="auto">
            <a:xfrm>
              <a:off x="11887199" y="1139189"/>
              <a:ext cx="250826" cy="503406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04" name="Check Box 1967" hidden="1">
              <a:extLst>
                <a:ext uri="{63B3BB69-23CF-44E3-9099-C40C66FF867C}">
                  <a14:compatExt spid="_x0000_s783304"/>
                </a:ext>
                <a:ext uri="{FF2B5EF4-FFF2-40B4-BE49-F238E27FC236}">
                  <a16:creationId xmlns:a16="http://schemas.microsoft.com/office/drawing/2014/main" id="{00000000-0008-0000-0A00-0000C8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305" name="Check Box 1993" hidden="1">
              <a:extLst>
                <a:ext uri="{63B3BB69-23CF-44E3-9099-C40C66FF867C}">
                  <a14:compatExt spid="_x0000_s783305"/>
                </a:ext>
                <a:ext uri="{FF2B5EF4-FFF2-40B4-BE49-F238E27FC236}">
                  <a16:creationId xmlns:a16="http://schemas.microsoft.com/office/drawing/2014/main" id="{00000000-0008-0000-0A00-0000C9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06" name="Check Box 1994" hidden="1">
              <a:extLst>
                <a:ext uri="{63B3BB69-23CF-44E3-9099-C40C66FF867C}">
                  <a14:compatExt spid="_x0000_s783306"/>
                </a:ext>
                <a:ext uri="{FF2B5EF4-FFF2-40B4-BE49-F238E27FC236}">
                  <a16:creationId xmlns:a16="http://schemas.microsoft.com/office/drawing/2014/main" id="{00000000-0008-0000-0A00-0000CA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307" name="Check Box 1995" hidden="1">
              <a:extLst>
                <a:ext uri="{63B3BB69-23CF-44E3-9099-C40C66FF867C}">
                  <a14:compatExt spid="_x0000_s783307"/>
                </a:ext>
                <a:ext uri="{FF2B5EF4-FFF2-40B4-BE49-F238E27FC236}">
                  <a16:creationId xmlns:a16="http://schemas.microsoft.com/office/drawing/2014/main" id="{00000000-0008-0000-0A00-0000CB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xdr:row>
          <xdr:rowOff>114300</xdr:rowOff>
        </xdr:from>
        <xdr:to>
          <xdr:col>5</xdr:col>
          <xdr:colOff>276225</xdr:colOff>
          <xdr:row>7</xdr:row>
          <xdr:rowOff>295275</xdr:rowOff>
        </xdr:to>
        <xdr:sp macro="" textlink="">
          <xdr:nvSpPr>
            <xdr:cNvPr id="783308" name="Check Box 1996" hidden="1">
              <a:extLst>
                <a:ext uri="{63B3BB69-23CF-44E3-9099-C40C66FF867C}">
                  <a14:compatExt spid="_x0000_s783308"/>
                </a:ext>
                <a:ext uri="{FF2B5EF4-FFF2-40B4-BE49-F238E27FC236}">
                  <a16:creationId xmlns:a16="http://schemas.microsoft.com/office/drawing/2014/main" id="{00000000-0008-0000-0A00-0000CC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09" name="Check Box 1997" hidden="1">
              <a:extLst>
                <a:ext uri="{63B3BB69-23CF-44E3-9099-C40C66FF867C}">
                  <a14:compatExt spid="_x0000_s783309"/>
                </a:ext>
                <a:ext uri="{FF2B5EF4-FFF2-40B4-BE49-F238E27FC236}">
                  <a16:creationId xmlns:a16="http://schemas.microsoft.com/office/drawing/2014/main" id="{00000000-0008-0000-0A00-0000CD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310" name="Check Box 1998" hidden="1">
              <a:extLst>
                <a:ext uri="{63B3BB69-23CF-44E3-9099-C40C66FF867C}">
                  <a14:compatExt spid="_x0000_s783310"/>
                </a:ext>
                <a:ext uri="{FF2B5EF4-FFF2-40B4-BE49-F238E27FC236}">
                  <a16:creationId xmlns:a16="http://schemas.microsoft.com/office/drawing/2014/main" id="{00000000-0008-0000-0A00-0000CE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5" name="Obrázek 7">
          <a:extLst>
            <a:ext uri="{FF2B5EF4-FFF2-40B4-BE49-F238E27FC236}">
              <a16:creationId xmlns:a16="http://schemas.microsoft.com/office/drawing/2014/main" id="{955B6073-CD9E-4F15-8842-D36960C14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11" name="Check Box 1999" hidden="1">
              <a:extLst>
                <a:ext uri="{63B3BB69-23CF-44E3-9099-C40C66FF867C}">
                  <a14:compatExt spid="_x0000_s783311"/>
                </a:ext>
                <a:ext uri="{FF2B5EF4-FFF2-40B4-BE49-F238E27FC236}">
                  <a16:creationId xmlns:a16="http://schemas.microsoft.com/office/drawing/2014/main" id="{00000000-0008-0000-0A00-0000CF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312" name="Check Box 2000" hidden="1">
              <a:extLst>
                <a:ext uri="{63B3BB69-23CF-44E3-9099-C40C66FF867C}">
                  <a14:compatExt spid="_x0000_s783312"/>
                </a:ext>
                <a:ext uri="{FF2B5EF4-FFF2-40B4-BE49-F238E27FC236}">
                  <a16:creationId xmlns:a16="http://schemas.microsoft.com/office/drawing/2014/main" id="{00000000-0008-0000-0A00-0000D0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6" name="Obrázek 7">
          <a:extLst>
            <a:ext uri="{FF2B5EF4-FFF2-40B4-BE49-F238E27FC236}">
              <a16:creationId xmlns:a16="http://schemas.microsoft.com/office/drawing/2014/main" id="{B6EF6E43-F700-4C42-9BFD-0FF903796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13" name="Check Box 2001" hidden="1">
              <a:extLst>
                <a:ext uri="{63B3BB69-23CF-44E3-9099-C40C66FF867C}">
                  <a14:compatExt spid="_x0000_s783313"/>
                </a:ext>
                <a:ext uri="{FF2B5EF4-FFF2-40B4-BE49-F238E27FC236}">
                  <a16:creationId xmlns:a16="http://schemas.microsoft.com/office/drawing/2014/main" id="{00000000-0008-0000-0A00-0000D1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4" name="Check Box 2002" hidden="1">
              <a:extLst>
                <a:ext uri="{63B3BB69-23CF-44E3-9099-C40C66FF867C}">
                  <a14:compatExt spid="_x0000_s783314"/>
                </a:ext>
                <a:ext uri="{FF2B5EF4-FFF2-40B4-BE49-F238E27FC236}">
                  <a16:creationId xmlns:a16="http://schemas.microsoft.com/office/drawing/2014/main" id="{00000000-0008-0000-0A00-0000D2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7" name="Obrázek 7">
          <a:extLst>
            <a:ext uri="{FF2B5EF4-FFF2-40B4-BE49-F238E27FC236}">
              <a16:creationId xmlns:a16="http://schemas.microsoft.com/office/drawing/2014/main" id="{760FDF27-0602-472A-837A-35E61A4D8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315" name="Check Box 2003" hidden="1">
              <a:extLst>
                <a:ext uri="{63B3BB69-23CF-44E3-9099-C40C66FF867C}">
                  <a14:compatExt spid="_x0000_s783315"/>
                </a:ext>
                <a:ext uri="{FF2B5EF4-FFF2-40B4-BE49-F238E27FC236}">
                  <a16:creationId xmlns:a16="http://schemas.microsoft.com/office/drawing/2014/main" id="{00000000-0008-0000-0A00-0000D3F3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A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428625</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39</xdr:col>
          <xdr:colOff>280321</xdr:colOff>
          <xdr:row>16</xdr:row>
          <xdr:rowOff>95251</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949975"/>
                </a:ext>
              </a:extLst>
            </xdr:cNvPicPr>
          </xdr:nvPicPr>
          <xdr:blipFill>
            <a:blip xmlns:r="http://schemas.openxmlformats.org/officeDocument/2006/relationships" r:embed="rId2"/>
            <a:srcRect/>
            <a:stretch>
              <a:fillRect/>
            </a:stretch>
          </xdr:blipFill>
          <xdr:spPr bwMode="auto">
            <a:xfrm>
              <a:off x="9938385" y="3556635"/>
              <a:ext cx="4772311" cy="19621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49667" name="Check Box 1967" hidden="1">
              <a:extLst>
                <a:ext uri="{63B3BB69-23CF-44E3-9099-C40C66FF867C}">
                  <a14:compatExt spid="_x0000_s949667"/>
                </a:ext>
                <a:ext uri="{FF2B5EF4-FFF2-40B4-BE49-F238E27FC236}">
                  <a16:creationId xmlns:a16="http://schemas.microsoft.com/office/drawing/2014/main" id="{00000000-0008-0000-0A00-0000A37D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3" name="Obrázek 7">
          <a:extLst>
            <a:ext uri="{FF2B5EF4-FFF2-40B4-BE49-F238E27FC236}">
              <a16:creationId xmlns:a16="http://schemas.microsoft.com/office/drawing/2014/main" id="{38D8D94E-3D08-4842-AF9E-96EC55C83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332801" name="Check Box 1967" hidden="1">
              <a:extLst>
                <a:ext uri="{63B3BB69-23CF-44E3-9099-C40C66FF867C}">
                  <a14:compatExt spid="_x0000_s332801"/>
                </a:ext>
                <a:ext uri="{FF2B5EF4-FFF2-40B4-BE49-F238E27FC236}">
                  <a16:creationId xmlns:a16="http://schemas.microsoft.com/office/drawing/2014/main" id="{00000000-0008-0000-0C00-0000011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C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448" name="Check Box 1967" hidden="1">
              <a:extLst>
                <a:ext uri="{63B3BB69-23CF-44E3-9099-C40C66FF867C}">
                  <a14:compatExt spid="_x0000_s783448"/>
                </a:ext>
                <a:ext uri="{FF2B5EF4-FFF2-40B4-BE49-F238E27FC236}">
                  <a16:creationId xmlns:a16="http://schemas.microsoft.com/office/drawing/2014/main" id="{00000000-0008-0000-0C00-000058F4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449" name="Check Box 1113" hidden="1">
              <a:extLst>
                <a:ext uri="{63B3BB69-23CF-44E3-9099-C40C66FF867C}">
                  <a14:compatExt spid="_x0000_s783449"/>
                </a:ext>
                <a:ext uri="{FF2B5EF4-FFF2-40B4-BE49-F238E27FC236}">
                  <a16:creationId xmlns:a16="http://schemas.microsoft.com/office/drawing/2014/main" id="{00000000-0008-0000-0C00-000059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C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3561" name="Check Box 1967" hidden="1">
              <a:extLst>
                <a:ext uri="{63B3BB69-23CF-44E3-9099-C40C66FF867C}">
                  <a14:compatExt spid="_x0000_s783561"/>
                </a:ext>
                <a:ext uri="{FF2B5EF4-FFF2-40B4-BE49-F238E27FC236}">
                  <a16:creationId xmlns:a16="http://schemas.microsoft.com/office/drawing/2014/main" id="{00000000-0008-0000-0C00-0000C9F4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3562" name="Check Box 1226" hidden="1">
              <a:extLst>
                <a:ext uri="{63B3BB69-23CF-44E3-9099-C40C66FF867C}">
                  <a14:compatExt spid="_x0000_s783562"/>
                </a:ext>
                <a:ext uri="{FF2B5EF4-FFF2-40B4-BE49-F238E27FC236}">
                  <a16:creationId xmlns:a16="http://schemas.microsoft.com/office/drawing/2014/main" id="{00000000-0008-0000-0C00-0000C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889631" name="Obrázek 7">
          <a:extLst>
            <a:ext uri="{FF2B5EF4-FFF2-40B4-BE49-F238E27FC236}">
              <a16:creationId xmlns:a16="http://schemas.microsoft.com/office/drawing/2014/main" id="{CBD6706D-3D4F-854B-5E90-BB59758A3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066" name="Check Box 1967" hidden="1">
              <a:extLst>
                <a:ext uri="{63B3BB69-23CF-44E3-9099-C40C66FF867C}">
                  <a14:compatExt spid="_x0000_s784066"/>
                </a:ext>
                <a:ext uri="{FF2B5EF4-FFF2-40B4-BE49-F238E27FC236}">
                  <a16:creationId xmlns:a16="http://schemas.microsoft.com/office/drawing/2014/main" id="{00000000-0008-0000-0C00-0000C2F6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4067" name="Check Box 1731" hidden="1">
              <a:extLst>
                <a:ext uri="{63B3BB69-23CF-44E3-9099-C40C66FF867C}">
                  <a14:compatExt spid="_x0000_s784067"/>
                </a:ext>
                <a:ext uri="{FF2B5EF4-FFF2-40B4-BE49-F238E27FC236}">
                  <a16:creationId xmlns:a16="http://schemas.microsoft.com/office/drawing/2014/main" id="{00000000-0008-0000-0C00-0000C3F6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889632" name="Obrázek 7">
          <a:extLst>
            <a:ext uri="{FF2B5EF4-FFF2-40B4-BE49-F238E27FC236}">
              <a16:creationId xmlns:a16="http://schemas.microsoft.com/office/drawing/2014/main" id="{5825E7D7-638D-26EF-0E15-8C5189377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069" name="Check Box 1967" hidden="1">
              <a:extLst>
                <a:ext uri="{63B3BB69-23CF-44E3-9099-C40C66FF867C}">
                  <a14:compatExt spid="_x0000_s784069"/>
                </a:ext>
                <a:ext uri="{FF2B5EF4-FFF2-40B4-BE49-F238E27FC236}">
                  <a16:creationId xmlns:a16="http://schemas.microsoft.com/office/drawing/2014/main" id="{00000000-0008-0000-0C00-0000C5F6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4070" name="Check Box 1734" hidden="1">
              <a:extLst>
                <a:ext uri="{63B3BB69-23CF-44E3-9099-C40C66FF867C}">
                  <a14:compatExt spid="_x0000_s784070"/>
                </a:ext>
                <a:ext uri="{FF2B5EF4-FFF2-40B4-BE49-F238E27FC236}">
                  <a16:creationId xmlns:a16="http://schemas.microsoft.com/office/drawing/2014/main" id="{00000000-0008-0000-0C00-0000C6F6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6627</xdr:colOff>
          <xdr:row>16</xdr:row>
          <xdr:rowOff>162983</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951914"/>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10584</xdr:colOff>
          <xdr:row>26</xdr:row>
          <xdr:rowOff>211667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951915"/>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54" name="Check Box 1967" hidden="1">
              <a:extLst>
                <a:ext uri="{63B3BB69-23CF-44E3-9099-C40C66FF867C}">
                  <a14:compatExt spid="_x0000_s784354"/>
                </a:ext>
                <a:ext uri="{FF2B5EF4-FFF2-40B4-BE49-F238E27FC236}">
                  <a16:creationId xmlns:a16="http://schemas.microsoft.com/office/drawing/2014/main" id="{00000000-0008-0000-0C00-0000E2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4355" name="Check Box 2019" hidden="1">
              <a:extLst>
                <a:ext uri="{63B3BB69-23CF-44E3-9099-C40C66FF867C}">
                  <a14:compatExt spid="_x0000_s784355"/>
                </a:ext>
                <a:ext uri="{FF2B5EF4-FFF2-40B4-BE49-F238E27FC236}">
                  <a16:creationId xmlns:a16="http://schemas.microsoft.com/office/drawing/2014/main" id="{00000000-0008-0000-0C00-0000E3F7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56" name="Check Box 2020" hidden="1">
              <a:extLst>
                <a:ext uri="{63B3BB69-23CF-44E3-9099-C40C66FF867C}">
                  <a14:compatExt spid="_x0000_s784356"/>
                </a:ext>
                <a:ext uri="{FF2B5EF4-FFF2-40B4-BE49-F238E27FC236}">
                  <a16:creationId xmlns:a16="http://schemas.microsoft.com/office/drawing/2014/main" id="{00000000-0008-0000-0C00-0000E4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4357" name="Check Box 2021" hidden="1">
              <a:extLst>
                <a:ext uri="{63B3BB69-23CF-44E3-9099-C40C66FF867C}">
                  <a14:compatExt spid="_x0000_s784357"/>
                </a:ext>
                <a:ext uri="{FF2B5EF4-FFF2-40B4-BE49-F238E27FC236}">
                  <a16:creationId xmlns:a16="http://schemas.microsoft.com/office/drawing/2014/main" id="{00000000-0008-0000-0C00-0000E5F7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59" name="Check Box 2023" hidden="1">
              <a:extLst>
                <a:ext uri="{63B3BB69-23CF-44E3-9099-C40C66FF867C}">
                  <a14:compatExt spid="_x0000_s784359"/>
                </a:ext>
                <a:ext uri="{FF2B5EF4-FFF2-40B4-BE49-F238E27FC236}">
                  <a16:creationId xmlns:a16="http://schemas.microsoft.com/office/drawing/2014/main" id="{00000000-0008-0000-0C00-0000E7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4360" name="Check Box 2024" hidden="1">
              <a:extLst>
                <a:ext uri="{63B3BB69-23CF-44E3-9099-C40C66FF867C}">
                  <a14:compatExt spid="_x0000_s784360"/>
                </a:ext>
                <a:ext uri="{FF2B5EF4-FFF2-40B4-BE49-F238E27FC236}">
                  <a16:creationId xmlns:a16="http://schemas.microsoft.com/office/drawing/2014/main" id="{00000000-0008-0000-0C00-0000E8F7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5" name="Obrázek 7">
          <a:extLst>
            <a:ext uri="{FF2B5EF4-FFF2-40B4-BE49-F238E27FC236}">
              <a16:creationId xmlns:a16="http://schemas.microsoft.com/office/drawing/2014/main" id="{13EB8665-57A3-4E95-A29F-5E55B80EE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61" name="Check Box 2025" hidden="1">
              <a:extLst>
                <a:ext uri="{63B3BB69-23CF-44E3-9099-C40C66FF867C}">
                  <a14:compatExt spid="_x0000_s784361"/>
                </a:ext>
                <a:ext uri="{FF2B5EF4-FFF2-40B4-BE49-F238E27FC236}">
                  <a16:creationId xmlns:a16="http://schemas.microsoft.com/office/drawing/2014/main" id="{00000000-0008-0000-0C00-0000E9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4362" name="Check Box 2026" hidden="1">
              <a:extLst>
                <a:ext uri="{63B3BB69-23CF-44E3-9099-C40C66FF867C}">
                  <a14:compatExt spid="_x0000_s784362"/>
                </a:ext>
                <a:ext uri="{FF2B5EF4-FFF2-40B4-BE49-F238E27FC236}">
                  <a16:creationId xmlns:a16="http://schemas.microsoft.com/office/drawing/2014/main" id="{00000000-0008-0000-0C00-0000EAF7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6" name="Obrázek 7">
          <a:extLst>
            <a:ext uri="{FF2B5EF4-FFF2-40B4-BE49-F238E27FC236}">
              <a16:creationId xmlns:a16="http://schemas.microsoft.com/office/drawing/2014/main" id="{80BA5423-E84B-46F7-B2BA-3C2DFAE95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63" name="Check Box 2027" hidden="1">
              <a:extLst>
                <a:ext uri="{63B3BB69-23CF-44E3-9099-C40C66FF867C}">
                  <a14:compatExt spid="_x0000_s784363"/>
                </a:ext>
                <a:ext uri="{FF2B5EF4-FFF2-40B4-BE49-F238E27FC236}">
                  <a16:creationId xmlns:a16="http://schemas.microsoft.com/office/drawing/2014/main" id="{00000000-0008-0000-0C00-0000EB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4364" name="Check Box 2028" hidden="1">
              <a:extLst>
                <a:ext uri="{63B3BB69-23CF-44E3-9099-C40C66FF867C}">
                  <a14:compatExt spid="_x0000_s784364"/>
                </a:ext>
                <a:ext uri="{FF2B5EF4-FFF2-40B4-BE49-F238E27FC236}">
                  <a16:creationId xmlns:a16="http://schemas.microsoft.com/office/drawing/2014/main" id="{00000000-0008-0000-0C00-0000ECF7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7" name="Obrázek 7">
          <a:extLst>
            <a:ext uri="{FF2B5EF4-FFF2-40B4-BE49-F238E27FC236}">
              <a16:creationId xmlns:a16="http://schemas.microsoft.com/office/drawing/2014/main" id="{22555D22-1672-4820-8D7A-DE7762522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365" name="Check Box 2029" hidden="1">
              <a:extLst>
                <a:ext uri="{63B3BB69-23CF-44E3-9099-C40C66FF867C}">
                  <a14:compatExt spid="_x0000_s784365"/>
                </a:ext>
                <a:ext uri="{FF2B5EF4-FFF2-40B4-BE49-F238E27FC236}">
                  <a16:creationId xmlns:a16="http://schemas.microsoft.com/office/drawing/2014/main" id="{00000000-0008-0000-0C00-0000EDF7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10" name="Obrázek 7">
          <a:extLst>
            <a:ext uri="{FF2B5EF4-FFF2-40B4-BE49-F238E27FC236}">
              <a16:creationId xmlns:a16="http://schemas.microsoft.com/office/drawing/2014/main" id="{D1975C1C-F343-496A-BC13-99B159093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1619" name="Check Box 1967" hidden="1">
              <a:extLst>
                <a:ext uri="{63B3BB69-23CF-44E3-9099-C40C66FF867C}">
                  <a14:compatExt spid="_x0000_s951619"/>
                </a:ext>
                <a:ext uri="{FF2B5EF4-FFF2-40B4-BE49-F238E27FC236}">
                  <a16:creationId xmlns:a16="http://schemas.microsoft.com/office/drawing/2014/main" id="{00000000-0008-0000-0C00-00004385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8" name="Obrázek 7">
          <a:extLst>
            <a:ext uri="{FF2B5EF4-FFF2-40B4-BE49-F238E27FC236}">
              <a16:creationId xmlns:a16="http://schemas.microsoft.com/office/drawing/2014/main" id="{B9B3BA8D-CECB-432C-A150-A1524191E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1639" name="Check Box 1967" hidden="1">
              <a:extLst>
                <a:ext uri="{63B3BB69-23CF-44E3-9099-C40C66FF867C}">
                  <a14:compatExt spid="_x0000_s951639"/>
                </a:ext>
                <a:ext uri="{FF2B5EF4-FFF2-40B4-BE49-F238E27FC236}">
                  <a16:creationId xmlns:a16="http://schemas.microsoft.com/office/drawing/2014/main" id="{00000000-0008-0000-0C00-00005785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9" name="Obrázek 7">
          <a:extLst>
            <a:ext uri="{FF2B5EF4-FFF2-40B4-BE49-F238E27FC236}">
              <a16:creationId xmlns:a16="http://schemas.microsoft.com/office/drawing/2014/main" id="{DB57217D-9C2C-477B-87D6-9CDF88448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333825" name="Check Box 1967" hidden="1">
              <a:extLst>
                <a:ext uri="{63B3BB69-23CF-44E3-9099-C40C66FF867C}">
                  <a14:compatExt spid="_x0000_s333825"/>
                </a:ext>
                <a:ext uri="{FF2B5EF4-FFF2-40B4-BE49-F238E27FC236}">
                  <a16:creationId xmlns:a16="http://schemas.microsoft.com/office/drawing/2014/main" id="{00000000-0008-0000-0E00-00000118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0E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471" name="Check Box 1967" hidden="1">
              <a:extLst>
                <a:ext uri="{63B3BB69-23CF-44E3-9099-C40C66FF867C}">
                  <a14:compatExt spid="_x0000_s784471"/>
                </a:ext>
                <a:ext uri="{FF2B5EF4-FFF2-40B4-BE49-F238E27FC236}">
                  <a16:creationId xmlns:a16="http://schemas.microsoft.com/office/drawing/2014/main" id="{00000000-0008-0000-0E00-000057F8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4472" name="Check Box 1112" hidden="1">
              <a:extLst>
                <a:ext uri="{63B3BB69-23CF-44E3-9099-C40C66FF867C}">
                  <a14:compatExt spid="_x0000_s784472"/>
                </a:ext>
                <a:ext uri="{FF2B5EF4-FFF2-40B4-BE49-F238E27FC236}">
                  <a16:creationId xmlns:a16="http://schemas.microsoft.com/office/drawing/2014/main" id="{00000000-0008-0000-0E00-000058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0E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4584" name="Check Box 1967" hidden="1">
              <a:extLst>
                <a:ext uri="{63B3BB69-23CF-44E3-9099-C40C66FF867C}">
                  <a14:compatExt spid="_x0000_s784584"/>
                </a:ext>
                <a:ext uri="{FF2B5EF4-FFF2-40B4-BE49-F238E27FC236}">
                  <a16:creationId xmlns:a16="http://schemas.microsoft.com/office/drawing/2014/main" id="{00000000-0008-0000-0E00-0000C8F8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4585" name="Check Box 1225" hidden="1">
              <a:extLst>
                <a:ext uri="{63B3BB69-23CF-44E3-9099-C40C66FF867C}">
                  <a14:compatExt spid="_x0000_s784585"/>
                </a:ext>
                <a:ext uri="{FF2B5EF4-FFF2-40B4-BE49-F238E27FC236}">
                  <a16:creationId xmlns:a16="http://schemas.microsoft.com/office/drawing/2014/main" id="{00000000-0008-0000-0E00-0000C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890649" name="Obrázek 7">
          <a:extLst>
            <a:ext uri="{FF2B5EF4-FFF2-40B4-BE49-F238E27FC236}">
              <a16:creationId xmlns:a16="http://schemas.microsoft.com/office/drawing/2014/main" id="{91C0FEF5-E87D-E5A4-ED92-6D5627E62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091" name="Check Box 1967" hidden="1">
              <a:extLst>
                <a:ext uri="{63B3BB69-23CF-44E3-9099-C40C66FF867C}">
                  <a14:compatExt spid="_x0000_s785091"/>
                </a:ext>
                <a:ext uri="{FF2B5EF4-FFF2-40B4-BE49-F238E27FC236}">
                  <a16:creationId xmlns:a16="http://schemas.microsoft.com/office/drawing/2014/main" id="{00000000-0008-0000-0E00-0000C3FA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785092" name="Check Box 1732" hidden="1">
              <a:extLst>
                <a:ext uri="{63B3BB69-23CF-44E3-9099-C40C66FF867C}">
                  <a14:compatExt spid="_x0000_s785092"/>
                </a:ext>
                <a:ext uri="{FF2B5EF4-FFF2-40B4-BE49-F238E27FC236}">
                  <a16:creationId xmlns:a16="http://schemas.microsoft.com/office/drawing/2014/main" id="{00000000-0008-0000-0E00-0000C4FA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890650" name="Obrázek 7">
          <a:extLst>
            <a:ext uri="{FF2B5EF4-FFF2-40B4-BE49-F238E27FC236}">
              <a16:creationId xmlns:a16="http://schemas.microsoft.com/office/drawing/2014/main" id="{ABF93C87-B30C-755A-F7A0-208E6AFCC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094" name="Check Box 1967" hidden="1">
              <a:extLst>
                <a:ext uri="{63B3BB69-23CF-44E3-9099-C40C66FF867C}">
                  <a14:compatExt spid="_x0000_s785094"/>
                </a:ext>
                <a:ext uri="{FF2B5EF4-FFF2-40B4-BE49-F238E27FC236}">
                  <a16:creationId xmlns:a16="http://schemas.microsoft.com/office/drawing/2014/main" id="{00000000-0008-0000-0E00-0000C6FA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5095" name="Check Box 1735" hidden="1">
              <a:extLst>
                <a:ext uri="{63B3BB69-23CF-44E3-9099-C40C66FF867C}">
                  <a14:compatExt spid="_x0000_s785095"/>
                </a:ext>
                <a:ext uri="{FF2B5EF4-FFF2-40B4-BE49-F238E27FC236}">
                  <a16:creationId xmlns:a16="http://schemas.microsoft.com/office/drawing/2014/main" id="{00000000-0008-0000-0E00-0000C7FA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148167</xdr:colOff>
          <xdr:row>16</xdr:row>
          <xdr:rowOff>84669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952827"/>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328083</xdr:colOff>
          <xdr:row>26</xdr:row>
          <xdr:rowOff>222250</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952828"/>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88" name="Check Box 1967" hidden="1">
              <a:extLst>
                <a:ext uri="{63B3BB69-23CF-44E3-9099-C40C66FF867C}">
                  <a14:compatExt spid="_x0000_s785388"/>
                </a:ext>
                <a:ext uri="{FF2B5EF4-FFF2-40B4-BE49-F238E27FC236}">
                  <a16:creationId xmlns:a16="http://schemas.microsoft.com/office/drawing/2014/main" id="{00000000-0008-0000-0E00-0000EC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5389" name="Check Box 2029" hidden="1">
              <a:extLst>
                <a:ext uri="{63B3BB69-23CF-44E3-9099-C40C66FF867C}">
                  <a14:compatExt spid="_x0000_s785389"/>
                </a:ext>
                <a:ext uri="{FF2B5EF4-FFF2-40B4-BE49-F238E27FC236}">
                  <a16:creationId xmlns:a16="http://schemas.microsoft.com/office/drawing/2014/main" id="{00000000-0008-0000-0E00-0000EDFB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90" name="Check Box 2030" hidden="1">
              <a:extLst>
                <a:ext uri="{63B3BB69-23CF-44E3-9099-C40C66FF867C}">
                  <a14:compatExt spid="_x0000_s785390"/>
                </a:ext>
                <a:ext uri="{FF2B5EF4-FFF2-40B4-BE49-F238E27FC236}">
                  <a16:creationId xmlns:a16="http://schemas.microsoft.com/office/drawing/2014/main" id="{00000000-0008-0000-0E00-0000EE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5391" name="Check Box 2031" hidden="1">
              <a:extLst>
                <a:ext uri="{63B3BB69-23CF-44E3-9099-C40C66FF867C}">
                  <a14:compatExt spid="_x0000_s785391"/>
                </a:ext>
                <a:ext uri="{FF2B5EF4-FFF2-40B4-BE49-F238E27FC236}">
                  <a16:creationId xmlns:a16="http://schemas.microsoft.com/office/drawing/2014/main" id="{00000000-0008-0000-0E00-0000EFFB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93" name="Check Box 2033" hidden="1">
              <a:extLst>
                <a:ext uri="{63B3BB69-23CF-44E3-9099-C40C66FF867C}">
                  <a14:compatExt spid="_x0000_s785393"/>
                </a:ext>
                <a:ext uri="{FF2B5EF4-FFF2-40B4-BE49-F238E27FC236}">
                  <a16:creationId xmlns:a16="http://schemas.microsoft.com/office/drawing/2014/main" id="{00000000-0008-0000-0E00-0000F1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5394" name="Check Box 2034" hidden="1">
              <a:extLst>
                <a:ext uri="{63B3BB69-23CF-44E3-9099-C40C66FF867C}">
                  <a14:compatExt spid="_x0000_s785394"/>
                </a:ext>
                <a:ext uri="{FF2B5EF4-FFF2-40B4-BE49-F238E27FC236}">
                  <a16:creationId xmlns:a16="http://schemas.microsoft.com/office/drawing/2014/main" id="{00000000-0008-0000-0E00-0000F2FB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5" name="Obrázek 7">
          <a:extLst>
            <a:ext uri="{FF2B5EF4-FFF2-40B4-BE49-F238E27FC236}">
              <a16:creationId xmlns:a16="http://schemas.microsoft.com/office/drawing/2014/main" id="{59B1F790-38A7-4F17-AE40-4A7E9BB09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95" name="Check Box 2035" hidden="1">
              <a:extLst>
                <a:ext uri="{63B3BB69-23CF-44E3-9099-C40C66FF867C}">
                  <a14:compatExt spid="_x0000_s785395"/>
                </a:ext>
                <a:ext uri="{FF2B5EF4-FFF2-40B4-BE49-F238E27FC236}">
                  <a16:creationId xmlns:a16="http://schemas.microsoft.com/office/drawing/2014/main" id="{00000000-0008-0000-0E00-0000F3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785396" name="Check Box 2036" hidden="1">
              <a:extLst>
                <a:ext uri="{63B3BB69-23CF-44E3-9099-C40C66FF867C}">
                  <a14:compatExt spid="_x0000_s785396"/>
                </a:ext>
                <a:ext uri="{FF2B5EF4-FFF2-40B4-BE49-F238E27FC236}">
                  <a16:creationId xmlns:a16="http://schemas.microsoft.com/office/drawing/2014/main" id="{00000000-0008-0000-0E00-0000F4FB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6" name="Obrázek 7">
          <a:extLst>
            <a:ext uri="{FF2B5EF4-FFF2-40B4-BE49-F238E27FC236}">
              <a16:creationId xmlns:a16="http://schemas.microsoft.com/office/drawing/2014/main" id="{72A0B553-B6B7-40C6-8409-827C2982C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76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97" name="Check Box 2037" hidden="1">
              <a:extLst>
                <a:ext uri="{63B3BB69-23CF-44E3-9099-C40C66FF867C}">
                  <a14:compatExt spid="_x0000_s785397"/>
                </a:ext>
                <a:ext uri="{FF2B5EF4-FFF2-40B4-BE49-F238E27FC236}">
                  <a16:creationId xmlns:a16="http://schemas.microsoft.com/office/drawing/2014/main" id="{00000000-0008-0000-0E00-0000F5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7" name="Obrázek 7">
          <a:extLst>
            <a:ext uri="{FF2B5EF4-FFF2-40B4-BE49-F238E27FC236}">
              <a16:creationId xmlns:a16="http://schemas.microsoft.com/office/drawing/2014/main" id="{AF75A215-3977-4A47-93C8-98C323708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785399" name="Check Box 2039" hidden="1">
              <a:extLst>
                <a:ext uri="{63B3BB69-23CF-44E3-9099-C40C66FF867C}">
                  <a14:compatExt spid="_x0000_s785399"/>
                </a:ext>
                <a:ext uri="{FF2B5EF4-FFF2-40B4-BE49-F238E27FC236}">
                  <a16:creationId xmlns:a16="http://schemas.microsoft.com/office/drawing/2014/main" id="{00000000-0008-0000-0E00-0000F7FB0B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429684</xdr:colOff>
      <xdr:row>4</xdr:row>
      <xdr:rowOff>0</xdr:rowOff>
    </xdr:to>
    <xdr:pic>
      <xdr:nvPicPr>
        <xdr:cNvPr id="10" name="Obrázek 7">
          <a:extLst>
            <a:ext uri="{FF2B5EF4-FFF2-40B4-BE49-F238E27FC236}">
              <a16:creationId xmlns:a16="http://schemas.microsoft.com/office/drawing/2014/main" id="{D3611308-C5FE-4577-8169-42AE025F9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685800</xdr:colOff>
          <xdr:row>0</xdr:row>
          <xdr:rowOff>0</xdr:rowOff>
        </xdr:from>
        <xdr:to>
          <xdr:col>27</xdr:col>
          <xdr:colOff>0</xdr:colOff>
          <xdr:row>2</xdr:row>
          <xdr:rowOff>0</xdr:rowOff>
        </xdr:to>
        <xdr:sp macro="" textlink="">
          <xdr:nvSpPr>
            <xdr:cNvPr id="952556" name="Check Box 1967" hidden="1">
              <a:extLst>
                <a:ext uri="{63B3BB69-23CF-44E3-9099-C40C66FF867C}">
                  <a14:compatExt spid="_x0000_s952556"/>
                </a:ext>
                <a:ext uri="{FF2B5EF4-FFF2-40B4-BE49-F238E27FC236}">
                  <a16:creationId xmlns:a16="http://schemas.microsoft.com/office/drawing/2014/main" id="{00000000-0008-0000-0E00-0000EC880E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8" name="Obrázek 7">
          <a:extLst>
            <a:ext uri="{FF2B5EF4-FFF2-40B4-BE49-F238E27FC236}">
              <a16:creationId xmlns:a16="http://schemas.microsoft.com/office/drawing/2014/main" id="{16196B63-E9C9-4E47-8A42-CECDFEA08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870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ctrlProp" Target="../ctrlProps/ctrlProp19.x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2" Type="http://schemas.openxmlformats.org/officeDocument/2006/relationships/vmlDrawing" Target="../drawings/vmlDrawing5.v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drawing" Target="../drawings/drawing7.xml"/><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ctrlProp" Target="../ctrlProps/ctrlProp42.x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2" Type="http://schemas.openxmlformats.org/officeDocument/2006/relationships/vmlDrawing" Target="../drawings/vmlDrawing6.v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drawing" Target="../drawings/drawing8.xml"/><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ctrlProp" Target="../ctrlProps/ctrlProp66.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vmlDrawing" Target="../drawings/vmlDrawing7.v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drawing" Target="../drawings/drawing9.xml"/><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 Type="http://schemas.openxmlformats.org/officeDocument/2006/relationships/vmlDrawing" Target="../drawings/vmlDrawing8.vml"/><Relationship Id="rId21" Type="http://schemas.openxmlformats.org/officeDocument/2006/relationships/ctrlProp" Target="../ctrlProps/ctrlProp105.xml"/><Relationship Id="rId34" Type="http://schemas.openxmlformats.org/officeDocument/2006/relationships/ctrlProp" Target="../ctrlProps/ctrlProp118.xml"/><Relationship Id="rId7" Type="http://schemas.openxmlformats.org/officeDocument/2006/relationships/ctrlProp" Target="../ctrlProps/ctrlProp91.x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2" Type="http://schemas.openxmlformats.org/officeDocument/2006/relationships/drawing" Target="../drawings/drawing10.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1" Type="http://schemas.openxmlformats.org/officeDocument/2006/relationships/printerSettings" Target="../printerSettings/printerSettings6.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8" Type="http://schemas.openxmlformats.org/officeDocument/2006/relationships/ctrlProp" Target="../ctrlProps/ctrlProp92.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19.xml"/><Relationship Id="rId7" Type="http://schemas.openxmlformats.org/officeDocument/2006/relationships/ctrlProp" Target="../ctrlProps/ctrlProp123.xml"/><Relationship Id="rId2" Type="http://schemas.openxmlformats.org/officeDocument/2006/relationships/vmlDrawing" Target="../drawings/vmlDrawing9.vml"/><Relationship Id="rId1" Type="http://schemas.openxmlformats.org/officeDocument/2006/relationships/drawing" Target="../drawings/drawing11.xml"/><Relationship Id="rId6" Type="http://schemas.openxmlformats.org/officeDocument/2006/relationships/ctrlProp" Target="../ctrlProps/ctrlProp122.xml"/><Relationship Id="rId5" Type="http://schemas.openxmlformats.org/officeDocument/2006/relationships/ctrlProp" Target="../ctrlProps/ctrlProp121.xml"/><Relationship Id="rId4" Type="http://schemas.openxmlformats.org/officeDocument/2006/relationships/ctrlProp" Target="../ctrlProps/ctrlProp12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24.xml"/><Relationship Id="rId2" Type="http://schemas.openxmlformats.org/officeDocument/2006/relationships/vmlDrawing" Target="../drawings/vmlDrawing10.vml"/><Relationship Id="rId1" Type="http://schemas.openxmlformats.org/officeDocument/2006/relationships/drawing" Target="../drawings/drawing12.xml"/><Relationship Id="rId4" Type="http://schemas.openxmlformats.org/officeDocument/2006/relationships/ctrlProp" Target="../ctrlProps/ctrlProp125.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trlProp" Target="../ctrlProps/ctrlProp12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trlProp" Target="../ctrlProps/ctrlProp12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demos-trade.com/" TargetMode="Externa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33.xml"/><Relationship Id="rId3" Type="http://schemas.openxmlformats.org/officeDocument/2006/relationships/ctrlProp" Target="../ctrlProps/ctrlProp128.xml"/><Relationship Id="rId7" Type="http://schemas.openxmlformats.org/officeDocument/2006/relationships/ctrlProp" Target="../ctrlProps/ctrlProp132.xml"/><Relationship Id="rId2" Type="http://schemas.openxmlformats.org/officeDocument/2006/relationships/vmlDrawing" Target="../drawings/vmlDrawing14.vml"/><Relationship Id="rId1" Type="http://schemas.openxmlformats.org/officeDocument/2006/relationships/drawing" Target="../drawings/drawing18.xml"/><Relationship Id="rId6" Type="http://schemas.openxmlformats.org/officeDocument/2006/relationships/ctrlProp" Target="../ctrlProps/ctrlProp131.xml"/><Relationship Id="rId5" Type="http://schemas.openxmlformats.org/officeDocument/2006/relationships/ctrlProp" Target="../ctrlProps/ctrlProp130.xml"/><Relationship Id="rId10" Type="http://schemas.openxmlformats.org/officeDocument/2006/relationships/comments" Target="../comments1.xml"/><Relationship Id="rId4" Type="http://schemas.openxmlformats.org/officeDocument/2006/relationships/ctrlProp" Target="../ctrlProps/ctrlProp129.xml"/><Relationship Id="rId9" Type="http://schemas.openxmlformats.org/officeDocument/2006/relationships/ctrlProp" Target="../ctrlProps/ctrlProp134.xml"/></Relationships>
</file>

<file path=xl/worksheets/_rels/sheet29.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2.xml"/><Relationship Id="rId5" Type="http://schemas.openxmlformats.org/officeDocument/2006/relationships/vmlDrawing" Target="../drawings/vmlDrawing15.vml"/><Relationship Id="rId4" Type="http://schemas.openxmlformats.org/officeDocument/2006/relationships/hyperlink" Target="mailto:objednavky@demos-trade.com" TargetMode="Externa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3.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bjednavky@demos-trade.com" TargetMode="External"/><Relationship Id="rId1" Type="http://schemas.openxmlformats.org/officeDocument/2006/relationships/hyperlink" Target="mailto:objednavky@demos-trade.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4.v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6.xml"/><Relationship Id="rId16"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440" customWidth="1"/>
    <col min="2" max="2" width="3" style="440" customWidth="1"/>
    <col min="3" max="3" width="8" style="440" customWidth="1"/>
    <col min="4" max="4" width="3" style="440" customWidth="1"/>
    <col min="5" max="5" width="8" style="440" customWidth="1"/>
    <col min="6" max="6" width="3" style="440" customWidth="1"/>
    <col min="7" max="7" width="8" style="440" customWidth="1"/>
    <col min="8" max="9" width="2" style="440" customWidth="1"/>
    <col min="10" max="10" width="3.42578125" style="440" customWidth="1"/>
    <col min="11" max="11" width="7.5703125" style="440" customWidth="1"/>
    <col min="12" max="12" width="3.140625" style="440" customWidth="1"/>
    <col min="13" max="13" width="7.5703125" style="440" customWidth="1"/>
    <col min="14" max="14" width="3.140625" style="440" customWidth="1"/>
    <col min="15" max="15" width="6.5703125" style="440" customWidth="1"/>
    <col min="16" max="16" width="5.42578125" style="440" customWidth="1"/>
    <col min="17" max="17" width="8" style="440" customWidth="1"/>
    <col min="18" max="18" width="3.140625" style="440" customWidth="1"/>
    <col min="19" max="20" width="8" style="440" customWidth="1"/>
    <col min="21" max="21" width="3.5703125" style="440" customWidth="1"/>
    <col min="22" max="22" width="8" style="440" customWidth="1"/>
    <col min="23" max="23" width="3.5703125" style="440" hidden="1" customWidth="1"/>
    <col min="24" max="16384" width="8" style="440" hidden="1"/>
  </cols>
  <sheetData>
    <row r="1" spans="1:32" ht="11.85" customHeight="1">
      <c r="A1" s="439" t="s">
        <v>677</v>
      </c>
      <c r="B1" s="439"/>
      <c r="C1" s="439"/>
      <c r="D1" s="439"/>
      <c r="E1" s="439"/>
      <c r="F1" s="439"/>
      <c r="G1" s="439"/>
      <c r="H1" s="439"/>
      <c r="I1" s="439"/>
      <c r="J1" s="439"/>
      <c r="K1" s="439"/>
      <c r="L1" s="439"/>
      <c r="M1" s="439"/>
      <c r="N1" s="439"/>
      <c r="O1" s="439"/>
      <c r="P1" s="439"/>
      <c r="Q1" s="439"/>
      <c r="R1" s="439"/>
      <c r="S1" s="439"/>
    </row>
    <row r="2" spans="1:32" ht="11.85" customHeight="1">
      <c r="A2" s="441"/>
      <c r="B2" s="441"/>
      <c r="C2" s="441"/>
      <c r="D2" s="441"/>
      <c r="E2" s="441"/>
      <c r="F2" s="441"/>
      <c r="G2" s="441"/>
      <c r="H2" s="441"/>
      <c r="I2" s="441"/>
      <c r="J2" s="441"/>
      <c r="K2" s="441"/>
      <c r="L2" s="441"/>
      <c r="M2" s="441"/>
      <c r="N2" s="441"/>
      <c r="O2" s="441"/>
      <c r="P2" s="441"/>
      <c r="Q2" s="441"/>
      <c r="R2" s="441"/>
      <c r="S2" s="441"/>
      <c r="T2" s="441"/>
      <c r="U2" s="441"/>
      <c r="V2" s="576" t="str">
        <f>VLOOKUP(V39,kombinace_1!$EJ$3:$EK$7,2,0)</f>
        <v>CZ</v>
      </c>
    </row>
    <row r="3" spans="1:32" ht="11.85" customHeight="1">
      <c r="A3" s="441"/>
      <c r="B3" s="441"/>
      <c r="C3" s="441"/>
      <c r="D3" s="441"/>
      <c r="E3" s="441"/>
      <c r="F3" s="441"/>
      <c r="G3" s="441"/>
      <c r="H3" s="441"/>
      <c r="I3" s="441"/>
      <c r="J3" s="441"/>
      <c r="K3" s="441"/>
      <c r="L3" s="441"/>
      <c r="M3" s="441"/>
      <c r="N3" s="441"/>
      <c r="O3" s="441"/>
      <c r="P3" s="441"/>
      <c r="Q3" s="441"/>
      <c r="R3" s="441"/>
      <c r="S3" s="441"/>
      <c r="T3" s="441"/>
      <c r="U3" s="441"/>
      <c r="V3" s="576"/>
    </row>
    <row r="4" spans="1:32" ht="24" customHeight="1">
      <c r="K4" s="574" t="str">
        <f>'Translate&amp;Prices&amp;Logo'!$B$245</f>
        <v>Objednávkový formulář ALU rámečků</v>
      </c>
      <c r="L4" s="574"/>
      <c r="M4" s="574"/>
      <c r="N4" s="574"/>
      <c r="O4" s="574"/>
      <c r="P4" s="574"/>
      <c r="Q4" s="574"/>
      <c r="R4" s="574"/>
      <c r="S4" s="574"/>
      <c r="T4" s="574"/>
      <c r="U4" s="574"/>
      <c r="V4" s="574"/>
    </row>
    <row r="5" spans="1:32" ht="11.85" customHeight="1">
      <c r="K5" s="574"/>
      <c r="L5" s="574"/>
      <c r="M5" s="574"/>
      <c r="N5" s="574"/>
      <c r="O5" s="574"/>
      <c r="P5" s="574"/>
      <c r="Q5" s="574"/>
      <c r="R5" s="574"/>
      <c r="S5" s="574"/>
      <c r="T5" s="574"/>
      <c r="U5" s="574"/>
      <c r="V5" s="574"/>
    </row>
    <row r="6" spans="1:32" ht="11.85" customHeight="1">
      <c r="K6" s="575"/>
      <c r="L6" s="575"/>
      <c r="M6" s="575"/>
      <c r="N6" s="575"/>
      <c r="O6" s="575"/>
      <c r="P6" s="575"/>
      <c r="Q6" s="575"/>
      <c r="R6" s="575"/>
      <c r="S6" s="575"/>
      <c r="T6" s="575"/>
      <c r="U6" s="575"/>
      <c r="V6" s="575"/>
    </row>
    <row r="7" spans="1:32" ht="11.85" customHeight="1">
      <c r="C7" s="463"/>
      <c r="D7" s="463"/>
      <c r="E7" s="463"/>
      <c r="F7" s="463"/>
      <c r="G7" s="463"/>
      <c r="H7" s="463"/>
      <c r="I7" s="463"/>
      <c r="J7" s="463"/>
      <c r="K7" s="463"/>
      <c r="L7" s="463"/>
      <c r="M7" s="463"/>
      <c r="N7" s="463"/>
      <c r="O7" s="463"/>
      <c r="P7" s="463"/>
      <c r="Q7" s="463"/>
      <c r="R7" s="463"/>
      <c r="S7" s="463"/>
    </row>
    <row r="8" spans="1:32" ht="11.85" customHeight="1">
      <c r="C8" s="463"/>
      <c r="D8" s="463"/>
      <c r="E8" s="463"/>
      <c r="F8" s="463"/>
      <c r="G8" s="463"/>
      <c r="H8" s="463"/>
      <c r="I8" s="463"/>
      <c r="J8" s="463"/>
      <c r="K8" s="463"/>
      <c r="L8" s="463"/>
      <c r="M8" s="463"/>
      <c r="N8" s="463"/>
      <c r="O8" s="463"/>
      <c r="P8" s="463"/>
      <c r="Q8" s="463"/>
      <c r="R8" s="463"/>
      <c r="S8" s="463"/>
    </row>
    <row r="9" spans="1:32" ht="11.85" customHeight="1"/>
    <row r="10" spans="1:32" ht="11.85" customHeight="1"/>
    <row r="11" spans="1:32" ht="20.85" customHeight="1">
      <c r="F11" s="442"/>
      <c r="G11" s="442"/>
      <c r="H11" s="442"/>
      <c r="I11" s="442"/>
    </row>
    <row r="12" spans="1:32" ht="11.85" customHeight="1"/>
    <row r="13" spans="1:32" ht="18.600000000000001" customHeight="1"/>
    <row r="14" spans="1:32" ht="15" customHeight="1">
      <c r="A14" s="439"/>
      <c r="B14" s="573" t="str">
        <f>'Translate&amp;Prices&amp;Logo'!$B$308</f>
        <v>Běžné rámečky</v>
      </c>
      <c r="C14" s="573"/>
      <c r="D14" s="573"/>
      <c r="E14" s="573"/>
      <c r="F14" s="573"/>
      <c r="G14" s="573"/>
      <c r="J14" s="439"/>
      <c r="K14" s="439"/>
      <c r="L14" s="439"/>
      <c r="Q14" s="573" t="str">
        <f>'Translate&amp;Prices&amp;Logo'!$B$309</f>
        <v>Posuvné rámečky</v>
      </c>
      <c r="R14" s="573"/>
      <c r="S14" s="573"/>
      <c r="T14" s="573"/>
      <c r="U14" s="573"/>
      <c r="V14" s="87"/>
      <c r="W14" s="87"/>
      <c r="X14" s="87"/>
      <c r="AE14" s="87"/>
      <c r="AF14" s="87"/>
    </row>
    <row r="15" spans="1:32" ht="15" customHeight="1">
      <c r="A15" s="439"/>
      <c r="B15" s="573"/>
      <c r="C15" s="573"/>
      <c r="D15" s="573"/>
      <c r="E15" s="573"/>
      <c r="F15" s="573"/>
      <c r="G15" s="573"/>
      <c r="J15" s="439"/>
      <c r="K15" s="439"/>
      <c r="L15" s="439"/>
      <c r="Q15" s="573"/>
      <c r="R15" s="573"/>
      <c r="S15" s="573"/>
      <c r="T15" s="573"/>
      <c r="U15" s="573"/>
      <c r="AE15" s="87"/>
      <c r="AF15" s="87"/>
    </row>
    <row r="16" spans="1:32" ht="11.85" customHeight="1">
      <c r="Z16" s="87"/>
      <c r="AA16" s="87"/>
      <c r="AB16" s="87"/>
      <c r="AC16" s="87"/>
      <c r="AD16" s="87"/>
      <c r="AE16" s="87"/>
      <c r="AF16" s="87"/>
    </row>
    <row r="17" spans="1:32" ht="11.85" customHeight="1">
      <c r="AA17" s="87"/>
      <c r="AB17" s="87"/>
      <c r="AC17" s="87"/>
      <c r="AD17" s="87"/>
      <c r="AE17" s="87"/>
      <c r="AF17" s="87"/>
    </row>
    <row r="18" spans="1:32" ht="11.85" customHeight="1">
      <c r="Z18" s="87"/>
      <c r="AA18" s="87"/>
      <c r="AB18" s="87"/>
      <c r="AC18" s="87"/>
      <c r="AD18" s="87"/>
      <c r="AE18" s="87"/>
      <c r="AF18" s="87"/>
    </row>
    <row r="19" spans="1:32" ht="11.85" customHeight="1">
      <c r="Z19" s="87"/>
      <c r="AA19" s="87"/>
      <c r="AB19" s="87"/>
      <c r="AC19" s="87"/>
      <c r="AD19" s="87"/>
      <c r="AE19" s="87"/>
      <c r="AF19" s="87"/>
    </row>
    <row r="20" spans="1:32" ht="11.85" customHeight="1">
      <c r="T20" s="443"/>
      <c r="U20" s="443"/>
      <c r="V20" s="443"/>
      <c r="W20" s="87"/>
      <c r="X20" s="87"/>
      <c r="Y20" s="87"/>
      <c r="Z20" s="87"/>
      <c r="AA20" s="87"/>
      <c r="AB20" s="87"/>
      <c r="AC20" s="87"/>
      <c r="AD20" s="87"/>
      <c r="AE20" s="87"/>
      <c r="AF20" s="87"/>
    </row>
    <row r="21" spans="1:32" ht="11.85" customHeight="1">
      <c r="J21" s="573" t="str">
        <f>'Translate&amp;Prices&amp;Logo'!$B$581</f>
        <v>Objednávka skla</v>
      </c>
      <c r="K21" s="573"/>
      <c r="L21" s="573"/>
      <c r="M21" s="573"/>
      <c r="N21" s="573"/>
      <c r="O21" s="573"/>
      <c r="Z21" s="87"/>
      <c r="AA21" s="87"/>
      <c r="AB21" s="87"/>
      <c r="AC21" s="87"/>
      <c r="AD21" s="87"/>
      <c r="AE21" s="87"/>
      <c r="AF21" s="87"/>
    </row>
    <row r="22" spans="1:32" ht="11.85" customHeight="1">
      <c r="J22" s="573"/>
      <c r="K22" s="573"/>
      <c r="L22" s="573"/>
      <c r="M22" s="573"/>
      <c r="N22" s="573"/>
      <c r="O22" s="573"/>
      <c r="T22" s="443"/>
      <c r="U22" s="443"/>
      <c r="V22" s="443"/>
      <c r="W22" s="87"/>
      <c r="X22" s="87"/>
      <c r="Y22" s="87"/>
      <c r="Z22" s="87"/>
      <c r="AA22" s="87"/>
      <c r="AB22" s="87"/>
      <c r="AC22" s="87"/>
      <c r="AD22" s="87"/>
      <c r="AE22" s="87"/>
      <c r="AF22" s="87"/>
    </row>
    <row r="23" spans="1:32" ht="11.85" customHeight="1">
      <c r="Z23" s="87"/>
      <c r="AA23" s="87"/>
      <c r="AB23" s="87"/>
      <c r="AC23" s="87"/>
      <c r="AD23" s="87"/>
      <c r="AE23" s="87"/>
      <c r="AF23" s="87"/>
    </row>
    <row r="24" spans="1:32" ht="11.85" customHeight="1">
      <c r="T24" s="443"/>
      <c r="U24" s="443"/>
      <c r="V24" s="443"/>
      <c r="W24" s="87"/>
      <c r="X24" s="87"/>
      <c r="Y24" s="87"/>
      <c r="Z24" s="87"/>
    </row>
    <row r="25" spans="1:32" ht="11.85" customHeight="1">
      <c r="Z25" s="87"/>
    </row>
    <row r="26" spans="1:32" ht="11.85" customHeight="1">
      <c r="T26" s="443"/>
      <c r="U26" s="443"/>
      <c r="V26" s="443"/>
      <c r="W26" s="87"/>
      <c r="X26" s="87"/>
      <c r="Y26" s="87"/>
      <c r="Z26" s="87"/>
    </row>
    <row r="27" spans="1:32" ht="15">
      <c r="E27" s="444"/>
      <c r="Z27" s="87"/>
    </row>
    <row r="28" spans="1:32" ht="15" customHeight="1">
      <c r="A28" s="439"/>
      <c r="B28" s="573" t="str">
        <f>'Translate&amp;Prices&amp;Logo'!$B$279</f>
        <v>Barvy LACOBEL A MATELAC</v>
      </c>
      <c r="C28" s="573"/>
      <c r="D28" s="573"/>
      <c r="E28" s="573"/>
      <c r="F28" s="573"/>
      <c r="G28" s="573"/>
      <c r="J28" s="439"/>
      <c r="K28" s="439"/>
      <c r="L28" s="439"/>
      <c r="Q28" s="573" t="str">
        <f>'Translate&amp;Prices&amp;Logo'!$B$310</f>
        <v>Nákresy profilů a spoj. kování</v>
      </c>
      <c r="R28" s="573"/>
      <c r="S28" s="573"/>
      <c r="T28" s="573"/>
      <c r="U28" s="573"/>
      <c r="V28" s="443"/>
    </row>
    <row r="29" spans="1:32" ht="15" customHeight="1">
      <c r="A29" s="439"/>
      <c r="B29" s="573"/>
      <c r="C29" s="573"/>
      <c r="D29" s="573"/>
      <c r="E29" s="573"/>
      <c r="F29" s="573"/>
      <c r="G29" s="573"/>
      <c r="J29" s="439"/>
      <c r="K29" s="439"/>
      <c r="L29" s="439"/>
      <c r="Q29" s="573"/>
      <c r="R29" s="573"/>
      <c r="S29" s="573"/>
      <c r="T29" s="573"/>
      <c r="U29" s="573"/>
    </row>
    <row r="30" spans="1:32" ht="11.85" customHeight="1">
      <c r="T30" s="443"/>
      <c r="U30" s="443"/>
      <c r="V30" s="443"/>
      <c r="W30" s="87"/>
      <c r="X30" s="87"/>
      <c r="Y30" s="87"/>
      <c r="Z30" s="87"/>
    </row>
    <row r="31" spans="1:32" ht="11.85" customHeight="1">
      <c r="Z31" s="87"/>
    </row>
    <row r="32" spans="1:32" ht="11.85" customHeight="1"/>
    <row r="33" spans="1:22" ht="11.85" customHeight="1"/>
    <row r="34" spans="1:22" ht="11.85" customHeight="1"/>
    <row r="35" spans="1:22" ht="11.85" customHeight="1"/>
    <row r="36" spans="1:22" ht="11.85" customHeight="1"/>
    <row r="37" spans="1:22" ht="11.85" customHeight="1"/>
    <row r="38" spans="1:22" ht="11.85" customHeight="1">
      <c r="A38" s="547" t="str">
        <f>'Translate&amp;Prices&amp;Logo'!$B$247</f>
        <v>Ceny jsou platné od 17.6.2024/Verze 5.0</v>
      </c>
    </row>
    <row r="39" spans="1:22" ht="11.85" customHeight="1">
      <c r="V39" s="464">
        <v>1</v>
      </c>
    </row>
  </sheetData>
  <sheetProtection algorithmName="SHA-512" hashValue="EAdKnPKZ1lWzJXnYkX9VI588b5f0v0049qzgmXJhFILFe4nPuwnGrhy2hOSfDEocuockxY/fRVZWGdiqmpsswg==" saltValue="mr+CLUF2GleRdJ0KWa4Jgg==" spinCount="100000" sheet="1" objects="1" scenarios="1" selectLockedCells="1"/>
  <mergeCells count="7">
    <mergeCell ref="B28:G29"/>
    <mergeCell ref="Q28:U29"/>
    <mergeCell ref="K4:V6"/>
    <mergeCell ref="V2:V3"/>
    <mergeCell ref="B14:G15"/>
    <mergeCell ref="Q14:U15"/>
    <mergeCell ref="J21:O22"/>
  </mergeCells>
  <dataValidations count="1">
    <dataValidation type="list" allowBlank="1" showInputMessage="1" showErrorMessage="1" sqref="V39" xr:uid="{72B387B7-3559-4077-8B18-1F33FFC28C00}">
      <formula1>"1,2,3,4,5"</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H570"/>
  <sheetViews>
    <sheetView topLeftCell="BQ1" workbookViewId="0">
      <selection activeCell="CF24" sqref="CF2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VLOOKUP(Ram_2!H8,kombinace_2!$A:$C,3,0)</f>
        <v>#N/A</v>
      </c>
      <c r="S1" t="e">
        <f>CONCATENATE("_",R1,V1)</f>
        <v>#N/A</v>
      </c>
      <c r="U1" s="485" t="s">
        <v>2052</v>
      </c>
      <c r="V1" s="12">
        <f>IFERROR(VLOOKUP(Ram_2!H21,$EN$3:$EO$5,2,0),1)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CONCATENATE("_",Ram_2!H12,"_",Ram_2!H13)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IF(OR(Ram_2!$H$13&amp;Ram_2!$AU$7=Ram_2!$M$44,(Ram_2!$H$13&amp;Ram_2!$AU$7=Ram_2!$M$45)),'Translate&amp;Prices&amp;Logo'!B657,'Translate&amp;Prices&amp;Logo'!B554)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IF(OR(Ram_2!$H$13&amp;Ram_2!$AU$7=Ram_2!$M$44,(Ram_2!$H$13&amp;Ram_2!$AU$7=Ram_2!$M$45)),'Translate&amp;Prices&amp;Logo'!B657,'Translate&amp;Prices&amp;Logo'!B555)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IF(Ram_2!$H$9=kombinace_2!M10,1,0)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IF(Ram_2!$H$9=kombinace_2!M11,2,0)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IF(Ram_2!$H$9=kombinace_2!M12,3,0)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IF(Ram_2!AU7=2,"FREEspace","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conditionalFormatting sqref="A32:A34 A50:A55 A57:A61 A3:A13 A15:A29 A38:A42 A44:A48 A72:A99">
    <cfRule type="expression" dxfId="579" priority="44" stopIfTrue="1">
      <formula>AND(COUNTIF($A$38:$A$42, A3)+COUNTIF($A$3:$A$13, A3)+COUNTIF($A$15:$A$29, A3)+COUNTIF($A$32:$A$34, A3)+COUNTIF($A$44:$A$48, A3)+COUNTIF($A$50:$A$55, A3)+COUNTIF($A$57:$A$99, A3)&gt;1,NOT(ISBLANK(A3)))</formula>
    </cfRule>
  </conditionalFormatting>
  <conditionalFormatting sqref="A33 A55 A57:A61">
    <cfRule type="expression" dxfId="578" priority="40" stopIfTrue="1">
      <formula>AND(COUNTIF($A$55:$A$55, A33)+COUNTIF($A$57:$A$62, A33)+COUNTIF($A$33:$A$33, A33)&gt;1,NOT(ISBLANK(A33)))</formula>
    </cfRule>
  </conditionalFormatting>
  <conditionalFormatting sqref="F14:F19">
    <cfRule type="duplicateValues" dxfId="577" priority="16"/>
  </conditionalFormatting>
  <conditionalFormatting sqref="P2:P61 P63:P65536">
    <cfRule type="expression" dxfId="576" priority="38" stopIfTrue="1">
      <formula>AND(COUNTIF($P$63:$P$65536, P2)+COUNTIF($P$2:$P$61, P2)&gt;1,NOT(ISBLANK(P2)))</formula>
    </cfRule>
  </conditionalFormatting>
  <conditionalFormatting sqref="Q2 Q4 Q6:Q62 Q68:Q65536">
    <cfRule type="expression" dxfId="575" priority="45" stopIfTrue="1">
      <formula>AND(COUNTIF($Q$68:$Q$65536, Q2)+COUNTIF($Q$2:$Q$2, Q2)+COUNTIF($Q$4:$Q$4, Q2)+COUNTIF($Q$6:$Q$62, Q2)&gt;1,NOT(ISBLANK(Q2)))</formula>
    </cfRule>
  </conditionalFormatting>
  <conditionalFormatting sqref="R4:R6">
    <cfRule type="duplicateValues" dxfId="574" priority="28"/>
  </conditionalFormatting>
  <conditionalFormatting sqref="R7:R8">
    <cfRule type="duplicateValues" dxfId="573" priority="27"/>
  </conditionalFormatting>
  <conditionalFormatting sqref="R9">
    <cfRule type="duplicateValues" dxfId="572" priority="26"/>
  </conditionalFormatting>
  <conditionalFormatting sqref="R10:R33">
    <cfRule type="duplicateValues" dxfId="571" priority="34"/>
  </conditionalFormatting>
  <conditionalFormatting sqref="R34:R39">
    <cfRule type="duplicateValues" dxfId="570" priority="41"/>
  </conditionalFormatting>
  <conditionalFormatting sqref="R40:R42">
    <cfRule type="duplicateValues" dxfId="569" priority="25"/>
  </conditionalFormatting>
  <conditionalFormatting sqref="R49:R55">
    <cfRule type="duplicateValues" dxfId="568" priority="29"/>
  </conditionalFormatting>
  <conditionalFormatting sqref="R49:R61 R2 R63:R65536">
    <cfRule type="expression" dxfId="567" priority="37" stopIfTrue="1">
      <formula>AND(COUNTIF($R$2:$R$2, R2)+COUNTIF($R$63:$R$65536, R2)+COUNTIF($R$49:$R$61, R2)&gt;1,NOT(ISBLANK(R2)))</formula>
    </cfRule>
  </conditionalFormatting>
  <conditionalFormatting sqref="R56:R57">
    <cfRule type="duplicateValues" dxfId="566" priority="30"/>
  </conditionalFormatting>
  <conditionalFormatting sqref="R58:R61 R63">
    <cfRule type="expression" dxfId="565" priority="39" stopIfTrue="1">
      <formula>AND(COUNTIF($R$63:$R$63, R58)+COUNTIF($R$58:$R$61, R58)&gt;1,NOT(ISBLANK(R58)))</formula>
    </cfRule>
  </conditionalFormatting>
  <conditionalFormatting sqref="S4">
    <cfRule type="duplicateValues" dxfId="564" priority="24"/>
  </conditionalFormatting>
  <conditionalFormatting sqref="S6:S9">
    <cfRule type="duplicateValues" dxfId="563" priority="10"/>
  </conditionalFormatting>
  <conditionalFormatting sqref="S10:S15">
    <cfRule type="duplicateValues" dxfId="562" priority="23"/>
  </conditionalFormatting>
  <conditionalFormatting sqref="S16:S17">
    <cfRule type="duplicateValues" dxfId="561" priority="22"/>
  </conditionalFormatting>
  <conditionalFormatting sqref="S18:S23">
    <cfRule type="duplicateValues" dxfId="560" priority="33"/>
  </conditionalFormatting>
  <conditionalFormatting sqref="S24:S52">
    <cfRule type="duplicateValues" dxfId="559" priority="31"/>
  </conditionalFormatting>
  <conditionalFormatting sqref="T4">
    <cfRule type="duplicateValues" dxfId="558" priority="21"/>
  </conditionalFormatting>
  <conditionalFormatting sqref="U4:U6">
    <cfRule type="duplicateValues" dxfId="557" priority="20"/>
  </conditionalFormatting>
  <conditionalFormatting sqref="U7:U30">
    <cfRule type="duplicateValues" dxfId="556" priority="35"/>
  </conditionalFormatting>
  <conditionalFormatting sqref="U31:U37">
    <cfRule type="duplicateValues" dxfId="555" priority="42"/>
  </conditionalFormatting>
  <conditionalFormatting sqref="U38:U40">
    <cfRule type="duplicateValues" dxfId="554" priority="19"/>
  </conditionalFormatting>
  <conditionalFormatting sqref="V4:V6">
    <cfRule type="duplicateValues" dxfId="553" priority="18"/>
  </conditionalFormatting>
  <conditionalFormatting sqref="V7:V30">
    <cfRule type="duplicateValues" dxfId="552" priority="36"/>
  </conditionalFormatting>
  <conditionalFormatting sqref="V31:V37">
    <cfRule type="duplicateValues" dxfId="551" priority="43"/>
  </conditionalFormatting>
  <conditionalFormatting sqref="V38:V40">
    <cfRule type="duplicateValues" dxfId="550" priority="17"/>
  </conditionalFormatting>
  <conditionalFormatting sqref="AC4:AC13 AC15:AC23 AC29:AC34 AC40:AC41 AC43:AC45 AC50:AC53 AC60:AC63">
    <cfRule type="cellIs" dxfId="549" priority="32" operator="equal">
      <formula>1</formula>
    </cfRule>
  </conditionalFormatting>
  <conditionalFormatting sqref="BQ9:BQ10">
    <cfRule type="duplicateValues" dxfId="548" priority="14"/>
  </conditionalFormatting>
  <conditionalFormatting sqref="BQ2:BR2">
    <cfRule type="duplicateValues" dxfId="547" priority="15"/>
  </conditionalFormatting>
  <conditionalFormatting sqref="DT2:DT44">
    <cfRule type="duplicateValues" dxfId="544" priority="6"/>
  </conditionalFormatting>
  <conditionalFormatting sqref="DT2:DT570">
    <cfRule type="duplicateValues" dxfId="543" priority="1"/>
  </conditionalFormatting>
  <conditionalFormatting sqref="DT45:DT87">
    <cfRule type="duplicateValues" dxfId="542" priority="4"/>
  </conditionalFormatting>
  <conditionalFormatting sqref="DT88:DT130">
    <cfRule type="duplicateValues" dxfId="541" priority="5"/>
  </conditionalFormatting>
  <conditionalFormatting sqref="DT131:DT173">
    <cfRule type="duplicateValues" dxfId="540" priority="7"/>
  </conditionalFormatting>
  <conditionalFormatting sqref="DT174:DT217">
    <cfRule type="duplicateValues" dxfId="539" priority="8"/>
  </conditionalFormatting>
  <conditionalFormatting sqref="DT257:DT287">
    <cfRule type="duplicateValues" dxfId="538" priority="13"/>
  </conditionalFormatting>
  <conditionalFormatting sqref="DU257:DU286">
    <cfRule type="duplicateValues" dxfId="537" priority="12"/>
  </conditionalFormatting>
  <conditionalFormatting sqref="DU287">
    <cfRule type="duplicateValues" dxfId="536" priority="11"/>
  </conditionalFormatting>
  <conditionalFormatting sqref="DW346:DW347">
    <cfRule type="expression" dxfId="535" priority="9" stopIfTrue="1">
      <formula>AND(COUNTIF($A$38:$A$42, DW346)+COUNTIF($A$3:$A$13, DW346)+COUNTIF($A$15:$A$29, DW346)+COUNTIF($A$32:$A$34, DW346)+COUNTIF($A$44:$A$48, DW346)+COUNTIF($A$50:$A$55, DW346)+COUNTIF($A$57:$A$99, DW346)&gt;1,NOT(ISBLANK(DW346)))</formula>
    </cfRule>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2" id="{C17CAC67-7D24-4E95-962B-EBBD1B93CD31}">
            <xm:f>OR(Ram_2!$AU$10=1,Ram_2!$AU$10=3)</xm:f>
            <x14:dxf>
              <fill>
                <patternFill patternType="darkDown"/>
              </fill>
            </x14:dxf>
          </x14:cfRule>
          <xm:sqref>CH13</xm:sqref>
        </x14:conditionalFormatting>
        <x14:conditionalFormatting xmlns:xm="http://schemas.microsoft.com/office/excel/2006/main">
          <x14:cfRule type="expression" priority="3" id="{EE32DCDD-0FAA-4351-9336-219414D7C548}">
            <xm:f>OR(Ram_2!$AU$10=2,Ram_2!$AU$10=3)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65536"/>
  <sheetViews>
    <sheetView showGridLines="0" showRowColHeaders="0" zoomScaleNormal="100" workbookViewId="0">
      <selection activeCell="H8" sqref="H8:Q8"/>
    </sheetView>
  </sheetViews>
  <sheetFormatPr defaultColWidth="0" defaultRowHeight="15" customHeight="1"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71093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4.42578125" style="423" customWidth="1"/>
    <col min="45" max="45" width="14.42578125" style="423" customWidth="1"/>
    <col min="46" max="46" width="14.140625" style="423" hidden="1" customWidth="1"/>
    <col min="47" max="48" width="14.140625" style="450" hidden="1" customWidth="1"/>
    <col min="49" max="55" width="14.140625" style="423" hidden="1" customWidth="1"/>
    <col min="5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"&amp;3</f>
        <v>Rámeček  3</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IFERROR(IF(OR(VLOOKUP(H8,kombinace_3!$A:$E,5,0)=1,H8=kombinace_3!A27,H8=kombinace_3!A28),'Translate&amp;Prices&amp;Logo'!B635,""),"")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IFERROR(IF(kombinace_3!FC2=TRUE,'Translate&amp;Prices&amp;Logo'!B654,IF(VLOOKUP(H8,kombinace_3!$A:$E,5,0)=3,'Translate&amp;Prices&amp;Logo'!B642,"")),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IF(kombinace_3!FC2=TRUE,AB4,AU2)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VLOOKUP(H8,kombinace_3!$A:$B,2,0)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IF(AU10&gt;0,'Translate&amp;Prices&amp;Logo'!B303,IF(H8=kombinace_3!A58,'Translate&amp;Prices&amp;Logo'!B578,IF(H8=kombinace_3!A60,'Translate&amp;Prices&amp;Logo'!B579,IF(H8=kombinace_3!A62,'Translate&amp;Prices&amp;Logo'!B580,0))))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IFERROR(IF(AND(VLOOKUP(H8,kombinace_3!$A:$D,4,0)=1,kombinace_3!FC2=FALSE),'Translate&amp;Prices&amp;Logo'!$B$543,0),0)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VLOOKUP(H12,kombinace_3!$DP:$DQ,2,0)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IFERROR(VLOOKUP(H9,kombinace_3!$BY$13:$BZ$15,2,0),0)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IFERROR(IF(kombinace_3!$H$1=TRUE,BA2+AY3,0),0)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IF(AU9=2,INDIRECT(CONCATENATE("_",AV7,"_",H13,"_",AA29)),IF(AU9=3,INDIRECT(VLOOKUP(H13,kombinace_3!$AA:$AB,2,0))))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IF(H15=kombinace_3!AB40,'Translate&amp;Prices&amp;Logo'!$B$224,IF(H15=kombinace_3!AB41,'Translate&amp;Prices&amp;Logo'!$B$224,IF(H12=kombinace_3!BQ2,'Translate&amp;Prices&amp;Logo'!$B$222,'Translate&amp;Prices&amp;Logo'!$B$218)))</f>
        <v>Výběr pozice rámečku</v>
      </c>
      <c r="C16" s="654"/>
      <c r="D16" s="654"/>
      <c r="E16" s="654"/>
      <c r="F16" s="652"/>
      <c r="G16" s="652"/>
      <c r="H16" s="652"/>
      <c r="I16" s="652"/>
      <c r="J16" s="685" t="str">
        <f>IF(OR(H15=kombinace_3!AB40,H15=kombinace_3!AB7,H15=kombinace_3!AB15,H15=kombinace_3!AB21,H15=kombinace_3!AB22,H15=kombinace_3!AB23),'Translate&amp;Prices&amp;Logo'!$B$226,IF(H15=kombinace_3!AB41,'Translate&amp;Prices&amp;Logo'!$B$226,'Translate&amp;Prices&amp;Logo'!$B$232))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IF(H12='Translate&amp;Prices&amp;Logo'!B551,'Translate&amp;Prices&amp;Logo'!B238,IF(H15=kombinace_3!AB8,'Translate&amp;Prices&amp;Logo'!B284,0))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VLOOKUP(H17,kombinace_3!$BY:$BZ,2,0)</f>
        <v>#N/A</v>
      </c>
      <c r="AV17" s="452"/>
    </row>
    <row r="18" spans="1:52" ht="18" customHeight="1">
      <c r="A18" s="371"/>
      <c r="B18" s="632">
        <f>IFERROR(IF(VLOOKUP(H15,kombinace_3!CD:CE,2,0)=1,'Translate&amp;Prices&amp;Logo'!$B$547,0),0)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IFERROR(IF(H12='Translate&amp;Prices&amp;Logo'!B551,'Translate&amp;Prices&amp;Logo'!$B$223,IF(VLOOKUP(H15,kombinace_3!CD:CE,2,0)=1,'Translate&amp;Prices&amp;Logo'!$B$223,)),0)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IFERROR(IF(H12=kombinace_3!BR2,VLOOKUP(H15,kombinace_3!$CD:$CF,3,0),IF(H12=kombinace_3!BQ2,1,0)),0)</f>
        <v>0</v>
      </c>
      <c r="AV19" s="452">
        <f>IFERROR(VLOOKUP(H15,kombinace_3!$CD:$CF,3,0),0)</f>
        <v>0</v>
      </c>
    </row>
    <row r="20" spans="1:52" ht="18" customHeight="1">
      <c r="A20" s="371"/>
      <c r="B20" s="657">
        <f>IFERROR('Translate&amp;Prices&amp;Logo'!$B$242&amp;" "&amp;(VLOOKUP(H17,kombinace_3!$BY$32:$CA$35,2,0)),0)</f>
        <v>0</v>
      </c>
      <c r="C20" s="658"/>
      <c r="D20" s="658"/>
      <c r="E20" s="658"/>
      <c r="F20" s="651">
        <v>100</v>
      </c>
      <c r="G20" s="651"/>
      <c r="H20" s="651"/>
      <c r="I20" s="651"/>
      <c r="J20" s="658">
        <f>IFERROR('Translate&amp;Prices&amp;Logo'!$B$242&amp;" "&amp;(VLOOKUP(H17,kombinace_3!$BY$32:$CA$35,3,0)),0)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IF(kombinace_3!FC2=FALSE,'Translate&amp;Prices&amp;Logo'!$B$173,"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VLOOKUP(H17,kombinace_3!$BY:$BZ,2,0)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VLOOKUP(H27,kombinace_3!$BY:$BZ,2,0)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VLOOKUP(H14,kombinace_3!$DN$7:$DO$21,2,0)</f>
        <v>#N/A</v>
      </c>
      <c r="AB29" s="665">
        <f>IFERROR(IF(AND($AU$17&lt;=2,H12=kombinace_3!BQ2),'Translate&amp;Prices&amp;Logo'!$B$577,0),0)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VLOOKUP('Translate&amp;Prices&amp;Logo'!D1,kombinace_3!$EV$1:$EW$5,2,0)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20.2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IF(kombinace_3!V1=2,((AR14/1000)*(AI30/1000))*'Translate&amp;Prices&amp;Logo'!C94,0)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IF(kombinace_3!$V$1=3,IFERROR(((VLOOKUP(H24,'Translate&amp;Prices&amp;Logo'!B91:C93,2,0))*(AR14/1000)),0),0)</f>
        <v>0</v>
      </c>
    </row>
    <row r="36" spans="1:49" s="469" customFormat="1" ht="18.600000000000001" hidden="1" customHeight="1">
      <c r="A36" s="461"/>
      <c r="B36" s="469" t="str">
        <f t="array" ref="B36:B114">IF(kombinace_3!FC2=TRUE,_profily_síťka,IF(kombinace_3!H1=TRUE,_kombinovane_profily,_vše_profily))</f>
        <v>BRW (elox.)</v>
      </c>
      <c r="H36" s="469" t="str">
        <f t="array" ref="H36:H39">kombinace_3!$BY$13:$BY$15</f>
        <v>Horizontálně</v>
      </c>
      <c r="L36" s="469" t="str">
        <f t="array" ref="L36:M36">IF(kombinace_3!H1=TRUE,kombinace_3!$BQ$2:$BR$2,IF(H8=kombinace_3!A35,kombinace_3!$BQ$2,IF(H8=kombinace_3!A36,kombinace_3!$BQ$2,IF(H8=kombinace_3!A37,kombinace_3!$BQ$2,IF(H8=kombinace_3!A64,kombinace_3!$BQ$2,IF(H8=kombinace_3!A65,kombinace_3!$BQ$2,IF(H8=kombinace_3!A66,kombinace_3!$BQ$2,IF(H8=kombinace_3!A67,kombinace_3!$BQ$2,kombinace_3!$BQ$2:$BR$2))))))))</f>
        <v>Závěsy</v>
      </c>
      <c r="M36" s="469" t="str">
        <v>Závěsy</v>
      </c>
      <c r="P36" s="469" t="str">
        <f t="array" ref="P36:P38">IF(H13=kombinace_3!BQ11,kombinace_3!$DN$2,kombinace_3!$DN$2:$DN$4)</f>
        <v>Naložený</v>
      </c>
      <c r="T36" s="469" t="e">
        <f t="array" aca="1" ref="T36:T45" ca="1">IF(H13=kombinace_3!BQ11,kombinace_3!$FA$2:$FA$9,IF(AND(OR(H8=kombinace_3!A35,H8=kombinace_3!A37),H13=kombinace_3!BQ4),INDIRECT(VLOOKUP(CONCATENATE("_",$AV$7,"_",$H$13,"_",$AA$29,"_Rocca"),kombinace_3!$ER:$ES,2,0)),IF($AU$9=2,INDIRECT(VLOOKUP(CONCATENATE("_",$AV$7,"_",$H$13,"_",$AA$29),kombinace_3!$ER:$ES,2,0)),IF($AU$9=3,INDIRECT(VLOOKUP($T$47,kombinace_3!$AA:$AB,2,0)),$Y$48))))</f>
        <v>#N/A</v>
      </c>
      <c r="Y36" s="469" t="str">
        <f t="array" ref="Y36:Y39">IF(kombinace_3!$H$1=TRUE,_znacka_zavesy,IF($H$12=kombinace_3!$BQ$2,_znacka_zavesy,_znacka_vyklopy))</f>
        <v>Blum</v>
      </c>
      <c r="AF36" s="469" t="e">
        <f t="array" aca="1" ref="AF36" ca="1">INDIRECT(CONCATENATE("_",AV7,"_",H15))</f>
        <v>#N/A</v>
      </c>
      <c r="AJ36" s="469">
        <f t="array" ref="AJ36:AJ40">IF(AM19&lt;2100,kombinace_3!BY8:BY12,kombinace_3!BY8:BY12)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IF($H$12=kombinace_3!$BQ$2,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IF(kombinace_3!H1=TRUE,kombinace_3!$BQ$2:$BR$2,IF(H8=kombinace_3!A35,kombinace_3!$BQ$2,IF(H8=kombinace_3!A36,kombinace_3!$BQ$2,IF(H8=kombinace_3!A37,kombinace_3!$BQ$2,kombinace_3!$BQ$2:$BR$2))))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CONCATENATE(H13,"_",VLOOKUP(kombinace_3!H1,kombinace_3!$J$14:$K$15,2,0))</f>
        <v>_2</v>
      </c>
    </row>
    <row r="48" spans="1:49" s="469" customFormat="1" ht="14.85" hidden="1" customHeight="1">
      <c r="A48" s="452"/>
      <c r="B48" s="469" t="str">
        <v>Corleone (elox.)</v>
      </c>
      <c r="T48" s="469" t="e">
        <f>VLOOKUP(CONCATENATE("_",AV7,"_",H13,"_",AA29),kombinace_3!ER:ES,2,0)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IF($H$15=kombinace_3!$AB$40,_strong_vzpera_horni,IF($H$15=kombinace_3!$AB$41,_stronglift_klopna,IF($H$12=kombinace_3!$BQ$2,$J$65:$J$71,'Translate&amp;Prices&amp;Logo'!$B$185:$B$186)))</f>
        <v>Horní dvířko</v>
      </c>
      <c r="K54" s="469" t="str">
        <f t="array" ref="K54:K58">IF(OR($H$15=kombinace_3!AB40,$H$15=kombinace_3!AB7,$H$15=kombinace_3!AB15,$H$15=kombinace_3!AB21,$H$15=kombinace_3!AB22,$H$15=kombinace_3!AB23),'Translate&amp;Prices&amp;Logo'!$B$229:$B$231,IF($H$15=kombinace_3!AB41,'Translate&amp;Prices&amp;Logo'!$B$229:$B$231,'Translate&amp;Prices&amp;Logo'!$B$233:$B$237))</f>
        <v>Úzký ALU rámeček</v>
      </c>
      <c r="P54" s="469" t="str">
        <f t="array" ref="P54:P57">IF(OR(H8=kombinace_3!F14,H8=kombinace_3!F15,H8=kombinace_3!F16,H8=kombinace_3!F17,H8=kombinace_3!F18,H8=kombinace_3!F19),_zavesy_kombo,IF(H15=kombinace_3!AB8,_ramena_HL,_umisteni_zavesu))</f>
        <v>Vlevo</v>
      </c>
      <c r="T54" s="469" t="str">
        <f t="array" ref="T54:T56">kombinace_3!$EN$3:$EN$5</f>
        <v>Bez úprav</v>
      </c>
      <c r="U54" s="469">
        <v>1</v>
      </c>
      <c r="X54" s="469" t="str">
        <f t="array" ref="X54:X56">kombinace_3!$X$3:$X$5</f>
        <v>Transparentní</v>
      </c>
      <c r="AD54" s="469" t="str">
        <f t="array" aca="1" ref="AD54:AD116" ca="1">IF(kombinace_3!FC2=TRUE,IF(OR(H8=kombinace_3!A13,H8=kombinace_3!A55),síťka_pro_zlatýprofil,IF(OR(H8=kombinace_3!A7,H8=kombinace_3!A51),síťka_pro_černýprofil,IF(OR(H8=kombinace_3!A4,H8=kombinace_3!A5,H8=kombinace_3!A53,H8=kombinace_3!A54),síťka_pro_bílýprofil,IF(OR(H8=kombinace_3!A3,H8=kombinace_3!A50),síťka_pro_eloxprofil)))),IF(OR(H8=kombinace_3!A15,H8=kombinace_3!A16,H8=kombinace_3!A18,H8=kombinace_3!A27,H8=kombinace_3!A28,H8=kombinace_3!A25,H8=kombinace_3!A26),_corleone,IF(H8="",_N1,INDIRECT(kombinace_3!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139" spans="20:38" hidden="1"/>
    <row r="140" spans="20:38" hidden="1"/>
    <row r="141" spans="20:38" hidden="1"/>
    <row r="142" spans="20:38" hidden="1"/>
    <row r="143" spans="20:38" hidden="1"/>
    <row r="144" spans="20:38"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t="29.25" hidden="1" customHeight="1"/>
  </sheetData>
  <sheetProtection algorithmName="SHA-512" hashValue="A8YYTT0rU5e7fCVv8l2bMoNoXJZwUJlyyJ9v6QOWefPNyMmu3e3U1TWae6dgHwSn3pCvDUYeUdPVskDUGDE9sA==" saltValue="2Q0qQXKWNjmUD42buWB3Uw==" spinCount="100000" sheet="1" objects="1" scenarios="1" selectLockedCells="1"/>
  <protectedRanges>
    <protectedRange sqref="G7 I7:R7" name="Oblast1_1"/>
  </protectedRanges>
  <mergeCells count="94">
    <mergeCell ref="G7:Q7"/>
    <mergeCell ref="B32:Q32"/>
    <mergeCell ref="B28:F28"/>
    <mergeCell ref="H28:Q28"/>
    <mergeCell ref="H29:I29"/>
    <mergeCell ref="J29:Q29"/>
    <mergeCell ref="B30:J31"/>
    <mergeCell ref="K30:K31"/>
    <mergeCell ref="L30:O31"/>
    <mergeCell ref="P30:Q31"/>
    <mergeCell ref="H23:Q23"/>
    <mergeCell ref="B11:F11"/>
    <mergeCell ref="H11:L11"/>
    <mergeCell ref="M11:Q11"/>
    <mergeCell ref="B12:F12"/>
    <mergeCell ref="H12:Q12"/>
    <mergeCell ref="H21:Q21"/>
    <mergeCell ref="S25:Y31"/>
    <mergeCell ref="AF30:AH30"/>
    <mergeCell ref="AB29:AO29"/>
    <mergeCell ref="AM23:AM25"/>
    <mergeCell ref="AL19:AL25"/>
    <mergeCell ref="AC25:AD25"/>
    <mergeCell ref="AJ26:AJ27"/>
    <mergeCell ref="AF25:AK25"/>
    <mergeCell ref="B19:F19"/>
    <mergeCell ref="AR19:AR23"/>
    <mergeCell ref="AI30:AK30"/>
    <mergeCell ref="AO31:AR32"/>
    <mergeCell ref="B24:F24"/>
    <mergeCell ref="H24:Q24"/>
    <mergeCell ref="AC24:AG24"/>
    <mergeCell ref="B25:F25"/>
    <mergeCell ref="H25:Q25"/>
    <mergeCell ref="S24:U24"/>
    <mergeCell ref="B26:F26"/>
    <mergeCell ref="H26:Q26"/>
    <mergeCell ref="B27:F27"/>
    <mergeCell ref="H27:Q27"/>
    <mergeCell ref="H19:Q19"/>
    <mergeCell ref="N20:Q20"/>
    <mergeCell ref="H18:Q18"/>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S13:Y17"/>
    <mergeCell ref="B14:F14"/>
    <mergeCell ref="H13:Q13"/>
    <mergeCell ref="H14:Q14"/>
    <mergeCell ref="B13:F13"/>
    <mergeCell ref="AQ7:AQ27"/>
    <mergeCell ref="A2:AJ3"/>
    <mergeCell ref="AP2:AS3"/>
    <mergeCell ref="BD3:BH3"/>
    <mergeCell ref="BI3:BM3"/>
    <mergeCell ref="B5:D5"/>
    <mergeCell ref="F5:H5"/>
    <mergeCell ref="J5:L5"/>
    <mergeCell ref="N5:P5"/>
    <mergeCell ref="R5:T5"/>
    <mergeCell ref="AB4:AN5"/>
    <mergeCell ref="M10:Q10"/>
    <mergeCell ref="AC8:AG8"/>
    <mergeCell ref="S10:Y12"/>
    <mergeCell ref="S18:Y23"/>
    <mergeCell ref="H10:L10"/>
    <mergeCell ref="B33:Y33"/>
    <mergeCell ref="V5:X5"/>
    <mergeCell ref="B7:F7"/>
    <mergeCell ref="S7:U7"/>
    <mergeCell ref="AJ7:AJ8"/>
    <mergeCell ref="H8:Q8"/>
    <mergeCell ref="B9:F9"/>
    <mergeCell ref="H9:Q9"/>
    <mergeCell ref="AC9:AD9"/>
    <mergeCell ref="N16:Q16"/>
    <mergeCell ref="S8:Y9"/>
    <mergeCell ref="AF9:AK9"/>
    <mergeCell ref="AD10:AD12"/>
    <mergeCell ref="AE10:AE16"/>
    <mergeCell ref="AD14:AD21"/>
    <mergeCell ref="AB19:AC19"/>
  </mergeCells>
  <conditionalFormatting sqref="A1:AS1 A4:AB4 AO4:AS5 A5 E5 I5 M5 Q5 U5 Y5:AA5 A6:Z6 AR6:AS13 V7:Z7 A7:A32 R8:R31 Z8:Z31 AS14:AS32 AR24:AR30 B29:G29 AA29 AP29:AQ29 AA30:AE30 AL30:AQ30 AA31:AN31 R32:AN32 A33:B33 Z33:AE33 AG33:IV33">
    <cfRule type="expression" dxfId="534" priority="23">
      <formula>$AS$33=1</formula>
    </cfRule>
  </conditionalFormatting>
  <conditionalFormatting sqref="B5 F5 J5 N5 R5 V5">
    <cfRule type="cellIs" dxfId="533" priority="29" operator="equal">
      <formula>$A$2</formula>
    </cfRule>
  </conditionalFormatting>
  <conditionalFormatting sqref="B10:G10">
    <cfRule type="expression" dxfId="532" priority="22">
      <formula>$AS$33=1</formula>
    </cfRule>
  </conditionalFormatting>
  <conditionalFormatting sqref="B16:I16">
    <cfRule type="expression" dxfId="531" priority="52">
      <formula>$AU$19=0</formula>
    </cfRule>
  </conditionalFormatting>
  <conditionalFormatting sqref="B9:Q9">
    <cfRule type="expression" dxfId="530" priority="37">
      <formula>$B$9=0</formula>
    </cfRule>
  </conditionalFormatting>
  <conditionalFormatting sqref="B11:Q11">
    <cfRule type="expression" dxfId="529" priority="51">
      <formula>$AU$10=0</formula>
    </cfRule>
  </conditionalFormatting>
  <conditionalFormatting sqref="B14:Q14">
    <cfRule type="expression" dxfId="528" priority="36">
      <formula>$B$14=0</formula>
    </cfRule>
  </conditionalFormatting>
  <conditionalFormatting sqref="B17:Q17">
    <cfRule type="expression" dxfId="527" priority="35">
      <formula>$B$17=0</formula>
    </cfRule>
  </conditionalFormatting>
  <conditionalFormatting sqref="B18:Q18">
    <cfRule type="expression" dxfId="526" priority="11" stopIfTrue="1">
      <formula>$B$18=0</formula>
    </cfRule>
    <cfRule type="expression" dxfId="525" priority="14">
      <formula>$F$16=$H$61</formula>
    </cfRule>
  </conditionalFormatting>
  <conditionalFormatting sqref="B19:Q19">
    <cfRule type="expression" dxfId="524" priority="34">
      <formula>$B$19=0</formula>
    </cfRule>
  </conditionalFormatting>
  <conditionalFormatting sqref="B20:Q20">
    <cfRule type="expression" dxfId="523" priority="31">
      <formula>$B$19=0</formula>
    </cfRule>
    <cfRule type="expression" dxfId="522" priority="30">
      <formula>$B$20=0</formula>
    </cfRule>
  </conditionalFormatting>
  <conditionalFormatting sqref="B21:Q21">
    <cfRule type="expression" dxfId="521" priority="3">
      <formula>$B$21=" "</formula>
    </cfRule>
  </conditionalFormatting>
  <conditionalFormatting sqref="B24:Q24">
    <cfRule type="expression" dxfId="520" priority="17" stopIfTrue="1">
      <formula>$T$59&lt;3</formula>
    </cfRule>
  </conditionalFormatting>
  <conditionalFormatting sqref="H23">
    <cfRule type="expression" dxfId="519" priority="38">
      <formula>$H$25&gt;0</formula>
    </cfRule>
  </conditionalFormatting>
  <conditionalFormatting sqref="H10:L11">
    <cfRule type="expression" dxfId="518" priority="27">
      <formula>$AU$10=2</formula>
    </cfRule>
  </conditionalFormatting>
  <conditionalFormatting sqref="H10:Q10">
    <cfRule type="expression" dxfId="517" priority="26">
      <formula>$AU$10=0</formula>
    </cfRule>
  </conditionalFormatting>
  <conditionalFormatting sqref="H22:Q22 B22:G23">
    <cfRule type="expression" dxfId="516" priority="21">
      <formula>$AS$33=1</formula>
    </cfRule>
  </conditionalFormatting>
  <conditionalFormatting sqref="J16:M16">
    <cfRule type="expression" dxfId="515" priority="13" stopIfTrue="1">
      <formula>$K$60=TRUE</formula>
    </cfRule>
  </conditionalFormatting>
  <conditionalFormatting sqref="J16:N16">
    <cfRule type="expression" dxfId="514" priority="15" stopIfTrue="1">
      <formula>$AV$19=0</formula>
    </cfRule>
  </conditionalFormatting>
  <conditionalFormatting sqref="M10:Q11">
    <cfRule type="expression" dxfId="513" priority="25">
      <formula>$AU$10=1</formula>
    </cfRule>
  </conditionalFormatting>
  <conditionalFormatting sqref="N16:Q16">
    <cfRule type="expression" dxfId="512" priority="12" stopIfTrue="1">
      <formula>$K$60=TRUE</formula>
    </cfRule>
  </conditionalFormatting>
  <conditionalFormatting sqref="S7:S8">
    <cfRule type="cellIs" dxfId="511" priority="33" operator="equal">
      <formula>0</formula>
    </cfRule>
  </conditionalFormatting>
  <conditionalFormatting sqref="S24">
    <cfRule type="cellIs" dxfId="510" priority="32" operator="equal">
      <formula>0</formula>
    </cfRule>
  </conditionalFormatting>
  <conditionalFormatting sqref="S8:Y23 AQ7:AQ27 S25:Y31 AB29:AO29">
    <cfRule type="expression" dxfId="509" priority="19">
      <formula>$AS$33=1</formula>
    </cfRule>
  </conditionalFormatting>
  <conditionalFormatting sqref="S8:Y23">
    <cfRule type="cellIs" dxfId="508" priority="28" operator="equal">
      <formula>0</formula>
    </cfRule>
  </conditionalFormatting>
  <conditionalFormatting sqref="S18:Y23">
    <cfRule type="expression" dxfId="507" priority="16" stopIfTrue="1">
      <formula>$S$18=FALSE</formula>
    </cfRule>
  </conditionalFormatting>
  <conditionalFormatting sqref="V24:Y24">
    <cfRule type="expression" dxfId="506" priority="20">
      <formula>$AS$33=1</formula>
    </cfRule>
  </conditionalFormatting>
  <conditionalFormatting sqref="AA9:AA10 AA24:AA25">
    <cfRule type="expression" dxfId="505" priority="7" stopIfTrue="1">
      <formula>$AU$17=1</formula>
    </cfRule>
  </conditionalFormatting>
  <conditionalFormatting sqref="AA16:AA17">
    <cfRule type="expression" dxfId="504" priority="2" stopIfTrue="1">
      <formula>$AU$24="1_3"</formula>
    </cfRule>
  </conditionalFormatting>
  <conditionalFormatting sqref="AC6:AD6 AM6:AN6">
    <cfRule type="expression" dxfId="503" priority="9" stopIfTrue="1">
      <formula>$AU$17=3</formula>
    </cfRule>
  </conditionalFormatting>
  <conditionalFormatting sqref="AC25:AD25 AJ26:AJ27">
    <cfRule type="expression" dxfId="502" priority="46">
      <formula>$AU$25=4</formula>
    </cfRule>
  </conditionalFormatting>
  <conditionalFormatting sqref="AC28:AD28 AM28:AN28">
    <cfRule type="expression" dxfId="501" priority="8" stopIfTrue="1">
      <formula>$AU$17=4</formula>
    </cfRule>
  </conditionalFormatting>
  <conditionalFormatting sqref="AC8:AG8">
    <cfRule type="expression" dxfId="500" priority="50">
      <formula>$AU$25=3</formula>
    </cfRule>
  </conditionalFormatting>
  <conditionalFormatting sqref="AC24:AG24">
    <cfRule type="expression" dxfId="499" priority="47">
      <formula>$AU$25=4</formula>
    </cfRule>
  </conditionalFormatting>
  <conditionalFormatting sqref="AD10:AD12 AB19:AC19">
    <cfRule type="expression" dxfId="498" priority="40">
      <formula>$AU$25=1</formula>
    </cfRule>
  </conditionalFormatting>
  <conditionalFormatting sqref="AD14:AD21">
    <cfRule type="expression" dxfId="497" priority="39">
      <formula>$AU$25=1</formula>
    </cfRule>
  </conditionalFormatting>
  <conditionalFormatting sqref="AE10:AE16">
    <cfRule type="expression" dxfId="496" priority="48">
      <formula>$AU$25=1</formula>
    </cfRule>
  </conditionalFormatting>
  <conditionalFormatting sqref="AF9:AK9">
    <cfRule type="expression" dxfId="495" priority="43">
      <formula>$AU$25=3</formula>
    </cfRule>
  </conditionalFormatting>
  <conditionalFormatting sqref="AF25:AK25">
    <cfRule type="expression" dxfId="494" priority="45">
      <formula>$AU$25=4</formula>
    </cfRule>
  </conditionalFormatting>
  <conditionalFormatting sqref="AG6:AH6">
    <cfRule type="expression" dxfId="493" priority="5" stopIfTrue="1">
      <formula>$AU$24="3_3"</formula>
    </cfRule>
  </conditionalFormatting>
  <conditionalFormatting sqref="AG28:AH28">
    <cfRule type="expression" dxfId="492" priority="4" stopIfTrue="1">
      <formula>$AU$24="4_3"</formula>
    </cfRule>
  </conditionalFormatting>
  <conditionalFormatting sqref="AI19">
    <cfRule type="expression" dxfId="491" priority="1" stopIfTrue="1">
      <formula>AV1048555=2</formula>
    </cfRule>
  </conditionalFormatting>
  <conditionalFormatting sqref="AJ7:AJ8 AC9:AD9">
    <cfRule type="expression" dxfId="490" priority="44">
      <formula>$AU$25=3</formula>
    </cfRule>
  </conditionalFormatting>
  <conditionalFormatting sqref="AL19:AL25">
    <cfRule type="expression" dxfId="489" priority="49">
      <formula>$AU$25=2</formula>
    </cfRule>
  </conditionalFormatting>
  <conditionalFormatting sqref="AM14:AM21">
    <cfRule type="expression" dxfId="488" priority="41">
      <formula>$AU$25=2</formula>
    </cfRule>
  </conditionalFormatting>
  <conditionalFormatting sqref="AN19:AO19 AM23:AM25">
    <cfRule type="expression" dxfId="487" priority="42">
      <formula>$AU$25=2</formula>
    </cfRule>
  </conditionalFormatting>
  <conditionalFormatting sqref="AP9:AP10 AP24:AP25">
    <cfRule type="expression" dxfId="486" priority="6" stopIfTrue="1">
      <formula>$AU$17=2</formula>
    </cfRule>
  </conditionalFormatting>
  <conditionalFormatting sqref="AP16:AP17">
    <cfRule type="expression" dxfId="485" priority="10" stopIfTrue="1">
      <formula>$AU$24="2_3"</formula>
    </cfRule>
  </conditionalFormatting>
  <conditionalFormatting sqref="AQ6 AQ28">
    <cfRule type="expression" dxfId="484" priority="18">
      <formula>$AS$33=1</formula>
    </cfRule>
  </conditionalFormatting>
  <conditionalFormatting sqref="AQ7:AQ27 AB29:AO29">
    <cfRule type="cellIs" dxfId="483" priority="24" operator="equal">
      <formula>0</formula>
    </cfRule>
  </conditionalFormatting>
  <dataValidations count="24">
    <dataValidation type="list" allowBlank="1" showInputMessage="1" showErrorMessage="1" sqref="H18:Q18" xr:uid="{10AAE3DA-F7DA-4FD0-8E3F-B780ABCA9B2B}">
      <formula1>INDIRECT(CONCATENATE("_",AV7,"_",H15))</formula1>
    </dataValidation>
    <dataValidation type="whole" allowBlank="1" showInputMessage="1" showErrorMessage="1" sqref="J11 L11" xr:uid="{AAE77D22-7A3E-4B3D-836A-BBA3443AF599}">
      <formula1>1</formula1>
      <formula2>(V16/100)-1</formula2>
    </dataValidation>
    <dataValidation type="whole" allowBlank="1" showInputMessage="1" showErrorMessage="1" sqref="H11:I11" xr:uid="{1D7E860D-E942-4951-B2D4-8FDD735F39B6}">
      <formula1>1</formula1>
      <formula2>(AR14/100)-1</formula2>
    </dataValidation>
    <dataValidation type="whole" allowBlank="1" showInputMessage="1" showErrorMessage="1" sqref="M11:Q11" xr:uid="{BB48C670-2DAD-4659-8C54-66B8DF6DBD4B}">
      <formula1>1</formula1>
      <formula2>(AI30/100)-1</formula2>
    </dataValidation>
    <dataValidation type="whole" allowBlank="1" showInputMessage="1" showErrorMessage="1" sqref="K11" xr:uid="{AD08276D-915A-4EBD-8275-AE6A30E3E58B}">
      <formula1>1</formula1>
      <formula2>(#REF!/100)-1</formula2>
    </dataValidation>
    <dataValidation type="whole" allowBlank="1" showInputMessage="1" showErrorMessage="1" errorTitle="Minimum 80 mm" sqref="F20:I20 N20:Q20" xr:uid="{35803564-1270-43FF-BBA6-E422BC78D390}">
      <formula1>80</formula1>
      <formula2>1300</formula2>
    </dataValidation>
    <dataValidation type="list" allowBlank="1" showInputMessage="1" showErrorMessage="1" sqref="H27:Q27" xr:uid="{1B4F9DB9-6A58-484F-88CD-9BF93408254E}">
      <formula1>_umisteni_zavesu</formula1>
    </dataValidation>
    <dataValidation type="whole" operator="greaterThanOrEqual" allowBlank="1" showInputMessage="1" showErrorMessage="1" sqref="H26:Q26" xr:uid="{79FFC453-3C40-4B32-9DBE-CA8AE61EDD7F}">
      <formula1>1</formula1>
    </dataValidation>
    <dataValidation type="list" allowBlank="1" showInputMessage="1" showErrorMessage="1" sqref="H12:Q12" xr:uid="{554BDBFB-58E4-4EA2-A595-76625E94A196}">
      <formula1>$L$36:$M$36</formula1>
    </dataValidation>
    <dataValidation type="list" allowBlank="1" showInputMessage="1" showErrorMessage="1" sqref="H13:Q13" xr:uid="{50F666BC-43EE-478A-9691-FD9A1686E395}">
      <formula1>IF(M38="Salice",$L$38,$L$38:$L$42)</formula1>
    </dataValidation>
    <dataValidation type="list" allowBlank="1" showInputMessage="1" showErrorMessage="1" sqref="H14:Q14" xr:uid="{52D19748-21E8-4BA9-A4AE-2270D4F53468}">
      <formula1>$P$36:$P$38</formula1>
    </dataValidation>
    <dataValidation type="list" allowBlank="1" showInputMessage="1" showErrorMessage="1" sqref="N16:Q16" xr:uid="{E206B97C-176D-44D1-B579-301314982362}">
      <formula1>$K$54:$K$58</formula1>
    </dataValidation>
    <dataValidation type="list" allowBlank="1" showInputMessage="1" showErrorMessage="1" sqref="H17:Q17" xr:uid="{D1FA2611-C8CF-43DA-8EE0-1FC29BC7A301}">
      <formula1>$P$54:$P$57</formula1>
    </dataValidation>
    <dataValidation type="list" allowBlank="1" showInputMessage="1" showErrorMessage="1" sqref="H21:Q21" xr:uid="{0D736D3D-A245-450C-8EB9-F84778EA4FB8}">
      <formula1>$T$54:$T$56</formula1>
    </dataValidation>
    <dataValidation type="list" allowBlank="1" showInputMessage="1" showErrorMessage="1" sqref="H24:Q24" xr:uid="{C59E7F7E-36E8-4D4B-8AFB-F9E2DFC38618}">
      <formula1>$X$54:$X$56</formula1>
    </dataValidation>
    <dataValidation type="list" allowBlank="1" showInputMessage="1" showErrorMessage="1" sqref="H29:I29" xr:uid="{8349A0A0-FF15-4503-B8A9-E3F240530CF5}">
      <formula1>$F$29:$G$29</formula1>
    </dataValidation>
    <dataValidation type="list" allowBlank="1" showInputMessage="1" showErrorMessage="1" sqref="H25:Q25" xr:uid="{04E01A2D-9187-43CB-AC50-2A3CF64FFF2A}">
      <formula1>$AD$54:$AD$111</formula1>
    </dataValidation>
    <dataValidation type="list" allowBlank="1" showInputMessage="1" showErrorMessage="1" sqref="F16:I16" xr:uid="{24F81EDA-92B2-4A9E-8935-E655571DFE6A}">
      <formula1>$H$54:$H$60</formula1>
    </dataValidation>
    <dataValidation type="list" allowBlank="1" showInputMessage="1" showErrorMessage="1" sqref="H19:Q19" xr:uid="{967BB8AD-7E14-44BC-96DF-E5D6DB4912EA}">
      <formula1>IF(H13="Salice",$AJ$36,($AJ$36:$AJ$40))</formula1>
    </dataValidation>
    <dataValidation type="whole" operator="lessThan" showErrorMessage="1" errorTitle="MAX 2500" error="MAXIMUM 1250 mm x 2550 mm" sqref="AR14:AR18" xr:uid="{8FC85AA9-2567-46F0-99B4-96C2CBA9E3C9}">
      <formula1>IF(AI30&gt;=1251,1251,2551)</formula1>
    </dataValidation>
    <dataValidation type="list" allowBlank="1" showInputMessage="1" showErrorMessage="1" sqref="H15:Q15" xr:uid="{4FD6F621-75C5-45D4-936C-28ED75C66D17}">
      <formula1>$T$36:$T$45</formula1>
    </dataValidation>
    <dataValidation type="list" allowBlank="1" showInputMessage="1" showErrorMessage="1" sqref="H9:Q9" xr:uid="{0A72F397-7392-48BE-80C4-03F376EE2416}">
      <formula1>_roletka_predely</formula1>
    </dataValidation>
    <dataValidation type="list" allowBlank="1" showInputMessage="1" showErrorMessage="1" sqref="H8:Q8" xr:uid="{80C2D3F5-4C15-48FF-896B-AA30356B7A70}">
      <formula1>_Roletka_profil_3</formula1>
    </dataValidation>
    <dataValidation type="whole" operator="lessThan" showErrorMessage="1" errorTitle="MAX 1300 mm" error="MAXIMUM 1250 mm x 2550 mm" sqref="AI30:AK30" xr:uid="{4F6539AC-9AAC-4602-B244-099CB9E3CEB0}">
      <formula1>IF(AR14&gt;1252,1251,2551)</formula1>
    </dataValidation>
  </dataValidations>
  <hyperlinks>
    <hyperlink ref="AP2:AS3" location="Hlavní!A1" display="Hlavní!A1" xr:uid="{F907F63F-968C-44EE-8AF6-97F87CA87912}"/>
    <hyperlink ref="F5:H5" location="Ram_2!A1" display="Ram_2!A1" xr:uid="{6171DB25-368D-4F36-A5C9-0234DB61624E}"/>
    <hyperlink ref="N5:P5" location="Ram_4!A1" display="Ram_4!A1" xr:uid="{577BDA62-06C9-4A22-AC3B-2E7AEFDC4F5C}"/>
    <hyperlink ref="R5:T5" location="Ram_5!A1" display="Ram_5!A1" xr:uid="{69724475-E089-4D24-A2E4-F39654C26C62}"/>
    <hyperlink ref="V5:X5" location="Ram_6!A1" display="Ram_6!A1" xr:uid="{0F6A8D9A-ABB9-47C0-8203-D2F61F5335E6}"/>
    <hyperlink ref="B5:D5" location="Ram_1!A1" display="Ram_1!A1" xr:uid="{25D8488B-1C09-4969-9AF4-1DA2871B5FC9}"/>
    <hyperlink ref="AO31:AR32" location="_souhrn!A1" display="_souhrn!A1" xr:uid="{93B1DC35-E756-4F18-956E-3315ED1DC11B}"/>
    <hyperlink ref="J5:L5" location="Ram_3!A1" display="Ram_3!A1" xr:uid="{F2F8A6C8-437B-43AF-B042-55E3ABD211F4}"/>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1777" r:id="rId3"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331781"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2424" r:id="rId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2425" r:id="rId6" name="Check Box 1113">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2426" r:id="rId7"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2538" r:id="rId8"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2539" r:id="rId9" name="Check Box 1227">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3040" r:id="rId10"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043" r:id="rId11"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04" r:id="rId12"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05" r:id="rId13" name="Check Box 1993">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306" r:id="rId14" name="Check Box 1994">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07" r:id="rId15" name="Check Box 199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308" r:id="rId16" name="Check Box 1996">
              <controlPr defaultSize="0" autoFill="0" autoLine="0" autoPict="0">
                <anchor moveWithCells="1">
                  <from>
                    <xdr:col>5</xdr:col>
                    <xdr:colOff>47625</xdr:colOff>
                    <xdr:row>6</xdr:row>
                    <xdr:rowOff>114300</xdr:rowOff>
                  </from>
                  <to>
                    <xdr:col>5</xdr:col>
                    <xdr:colOff>276225</xdr:colOff>
                    <xdr:row>7</xdr:row>
                    <xdr:rowOff>295275</xdr:rowOff>
                  </to>
                </anchor>
              </controlPr>
            </control>
          </mc:Choice>
        </mc:AlternateContent>
        <mc:AlternateContent xmlns:mc="http://schemas.openxmlformats.org/markup-compatibility/2006">
          <mc:Choice Requires="x14">
            <control shapeId="783309" r:id="rId17" name="Check Box 199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10" r:id="rId18" name="Check Box 1998">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311" r:id="rId19" name="Check Box 1999">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12" r:id="rId20" name="Check Box 2000">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313" r:id="rId21" name="Check Box 2001">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14" r:id="rId22" name="Check Box 2002">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3315" r:id="rId23" name="Check Box 2003">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316" r:id="rId2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949667" r:id="rId2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570"/>
  <sheetViews>
    <sheetView workbookViewId="0">
      <selection activeCell="G28" sqref="G2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VLOOKUP(Ram_3!H8,kombinace_3!$A:$C,3,0)</f>
        <v>#N/A</v>
      </c>
      <c r="S1" t="e">
        <f>CONCATENATE("_",R1,V1)</f>
        <v>#N/A</v>
      </c>
      <c r="U1" s="485" t="s">
        <v>2052</v>
      </c>
      <c r="V1" s="12">
        <f>IFERROR(VLOOKUP(Ram_3!H21,$EN$3:$EO$5,2,0),1)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CONCATENATE("_",Ram_3!H12,"_",Ram_3!H13)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IF(OR(Ram_3!$H$13&amp;Ram_3!$AU$7=Ram_3!$M$44,(Ram_3!$H$13&amp;Ram_3!$AU$7=Ram_3!$M$45)),'Translate&amp;Prices&amp;Logo'!B657,'Translate&amp;Prices&amp;Logo'!B554)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IF(OR(Ram_3!$H$13&amp;Ram_3!$AU$7=Ram_3!$M$44,(Ram_3!$H$13&amp;Ram_3!$AU$7=Ram_3!$M$45)),'Translate&amp;Prices&amp;Logo'!B657,'Translate&amp;Prices&amp;Logo'!B555)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IF(Ram_3!$H$9=kombinace_3!M10,1,0)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IF(Ram_3!$H$9=kombinace_3!M11,2,0)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IF(Ram_3!$H$9=kombinace_3!M12,3,0)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IF(Ram_3!AU7=2,"FREEspace","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conditionalFormatting sqref="A32:A34 A50:A55 A57:A61 A3:A13 A15:A29 A38:A42 A44:A48 A72:A99">
    <cfRule type="expression" dxfId="482" priority="44" stopIfTrue="1">
      <formula>AND(COUNTIF($A$38:$A$42, A3)+COUNTIF($A$3:$A$13, A3)+COUNTIF($A$15:$A$29, A3)+COUNTIF($A$32:$A$34, A3)+COUNTIF($A$44:$A$48, A3)+COUNTIF($A$50:$A$55, A3)+COUNTIF($A$57:$A$99, A3)&gt;1,NOT(ISBLANK(A3)))</formula>
    </cfRule>
  </conditionalFormatting>
  <conditionalFormatting sqref="A33 A55 A57:A61">
    <cfRule type="expression" dxfId="481" priority="40" stopIfTrue="1">
      <formula>AND(COUNTIF($A$55:$A$55, A33)+COUNTIF($A$57:$A$62, A33)+COUNTIF($A$33:$A$33, A33)&gt;1,NOT(ISBLANK(A33)))</formula>
    </cfRule>
  </conditionalFormatting>
  <conditionalFormatting sqref="F14:F19">
    <cfRule type="duplicateValues" dxfId="480" priority="16"/>
  </conditionalFormatting>
  <conditionalFormatting sqref="P2:P61 P63:P65536">
    <cfRule type="expression" dxfId="479" priority="38" stopIfTrue="1">
      <formula>AND(COUNTIF($P$63:$P$65536, P2)+COUNTIF($P$2:$P$61, P2)&gt;1,NOT(ISBLANK(P2)))</formula>
    </cfRule>
  </conditionalFormatting>
  <conditionalFormatting sqref="Q2 Q4 Q6:Q62 Q68:Q65536">
    <cfRule type="expression" dxfId="478" priority="45" stopIfTrue="1">
      <formula>AND(COUNTIF($Q$68:$Q$65536, Q2)+COUNTIF($Q$2:$Q$2, Q2)+COUNTIF($Q$4:$Q$4, Q2)+COUNTIF($Q$6:$Q$62, Q2)&gt;1,NOT(ISBLANK(Q2)))</formula>
    </cfRule>
  </conditionalFormatting>
  <conditionalFormatting sqref="R4:R6">
    <cfRule type="duplicateValues" dxfId="477" priority="28"/>
  </conditionalFormatting>
  <conditionalFormatting sqref="R7:R8">
    <cfRule type="duplicateValues" dxfId="476" priority="27"/>
  </conditionalFormatting>
  <conditionalFormatting sqref="R9">
    <cfRule type="duplicateValues" dxfId="475" priority="26"/>
  </conditionalFormatting>
  <conditionalFormatting sqref="R10:R33">
    <cfRule type="duplicateValues" dxfId="474" priority="34"/>
  </conditionalFormatting>
  <conditionalFormatting sqref="R34:R39">
    <cfRule type="duplicateValues" dxfId="473" priority="41"/>
  </conditionalFormatting>
  <conditionalFormatting sqref="R40:R42">
    <cfRule type="duplicateValues" dxfId="472" priority="25"/>
  </conditionalFormatting>
  <conditionalFormatting sqref="R49:R55">
    <cfRule type="duplicateValues" dxfId="471" priority="29"/>
  </conditionalFormatting>
  <conditionalFormatting sqref="R49:R61 R2 R63:R65536">
    <cfRule type="expression" dxfId="470" priority="37" stopIfTrue="1">
      <formula>AND(COUNTIF($R$2:$R$2, R2)+COUNTIF($R$63:$R$65536, R2)+COUNTIF($R$49:$R$61, R2)&gt;1,NOT(ISBLANK(R2)))</formula>
    </cfRule>
  </conditionalFormatting>
  <conditionalFormatting sqref="R56:R57">
    <cfRule type="duplicateValues" dxfId="469" priority="30"/>
  </conditionalFormatting>
  <conditionalFormatting sqref="R58:R61 R63">
    <cfRule type="expression" dxfId="468" priority="39" stopIfTrue="1">
      <formula>AND(COUNTIF($R$63:$R$63, R58)+COUNTIF($R$58:$R$61, R58)&gt;1,NOT(ISBLANK(R58)))</formula>
    </cfRule>
  </conditionalFormatting>
  <conditionalFormatting sqref="S4">
    <cfRule type="duplicateValues" dxfId="467" priority="24"/>
  </conditionalFormatting>
  <conditionalFormatting sqref="S6:S9">
    <cfRule type="duplicateValues" dxfId="466" priority="10"/>
  </conditionalFormatting>
  <conditionalFormatting sqref="S10:S15">
    <cfRule type="duplicateValues" dxfId="465" priority="23"/>
  </conditionalFormatting>
  <conditionalFormatting sqref="S16:S17">
    <cfRule type="duplicateValues" dxfId="464" priority="22"/>
  </conditionalFormatting>
  <conditionalFormatting sqref="S18:S23">
    <cfRule type="duplicateValues" dxfId="463" priority="33"/>
  </conditionalFormatting>
  <conditionalFormatting sqref="S24:S52">
    <cfRule type="duplicateValues" dxfId="462" priority="31"/>
  </conditionalFormatting>
  <conditionalFormatting sqref="T4">
    <cfRule type="duplicateValues" dxfId="461" priority="21"/>
  </conditionalFormatting>
  <conditionalFormatting sqref="U4:U6">
    <cfRule type="duplicateValues" dxfId="460" priority="20"/>
  </conditionalFormatting>
  <conditionalFormatting sqref="U7:U30">
    <cfRule type="duplicateValues" dxfId="459" priority="35"/>
  </conditionalFormatting>
  <conditionalFormatting sqref="U31:U37">
    <cfRule type="duplicateValues" dxfId="458" priority="42"/>
  </conditionalFormatting>
  <conditionalFormatting sqref="U38:U40">
    <cfRule type="duplicateValues" dxfId="457" priority="19"/>
  </conditionalFormatting>
  <conditionalFormatting sqref="V4:V6">
    <cfRule type="duplicateValues" dxfId="456" priority="18"/>
  </conditionalFormatting>
  <conditionalFormatting sqref="V7:V30">
    <cfRule type="duplicateValues" dxfId="455" priority="36"/>
  </conditionalFormatting>
  <conditionalFormatting sqref="V31:V37">
    <cfRule type="duplicateValues" dxfId="454" priority="43"/>
  </conditionalFormatting>
  <conditionalFormatting sqref="V38:V40">
    <cfRule type="duplicateValues" dxfId="453" priority="17"/>
  </conditionalFormatting>
  <conditionalFormatting sqref="AC4:AC13 AC15:AC23 AC29:AC34 AC40:AC41 AC43:AC45 AC50:AC53 AC60:AC63">
    <cfRule type="cellIs" dxfId="452" priority="32" operator="equal">
      <formula>1</formula>
    </cfRule>
  </conditionalFormatting>
  <conditionalFormatting sqref="BQ9:BQ10">
    <cfRule type="duplicateValues" dxfId="451" priority="14"/>
  </conditionalFormatting>
  <conditionalFormatting sqref="BQ2:BR2">
    <cfRule type="duplicateValues" dxfId="450" priority="15"/>
  </conditionalFormatting>
  <conditionalFormatting sqref="DT2:DT44">
    <cfRule type="duplicateValues" dxfId="447" priority="6"/>
  </conditionalFormatting>
  <conditionalFormatting sqref="DT2:DT570">
    <cfRule type="duplicateValues" dxfId="446" priority="1"/>
  </conditionalFormatting>
  <conditionalFormatting sqref="DT45:DT87">
    <cfRule type="duplicateValues" dxfId="445" priority="4"/>
  </conditionalFormatting>
  <conditionalFormatting sqref="DT88:DT130">
    <cfRule type="duplicateValues" dxfId="444" priority="5"/>
  </conditionalFormatting>
  <conditionalFormatting sqref="DT131:DT173">
    <cfRule type="duplicateValues" dxfId="443" priority="7"/>
  </conditionalFormatting>
  <conditionalFormatting sqref="DT174:DT217">
    <cfRule type="duplicateValues" dxfId="442" priority="8"/>
  </conditionalFormatting>
  <conditionalFormatting sqref="DT257:DT287">
    <cfRule type="duplicateValues" dxfId="441" priority="13"/>
  </conditionalFormatting>
  <conditionalFormatting sqref="DU257:DU286">
    <cfRule type="duplicateValues" dxfId="440" priority="12"/>
  </conditionalFormatting>
  <conditionalFormatting sqref="DU287">
    <cfRule type="duplicateValues" dxfId="439" priority="11"/>
  </conditionalFormatting>
  <conditionalFormatting sqref="DW346:DW347">
    <cfRule type="expression" dxfId="438" priority="9" stopIfTrue="1">
      <formula>AND(COUNTIF($A$38:$A$42, DW346)+COUNTIF($A$3:$A$13, DW346)+COUNTIF($A$15:$A$29, DW346)+COUNTIF($A$32:$A$34, DW346)+COUNTIF($A$44:$A$48, DW346)+COUNTIF($A$50:$A$55, DW346)+COUNTIF($A$57:$A$99, DW346)&gt;1,NOT(ISBLANK(DW346)))</formula>
    </cfRule>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2" id="{17152966-9652-41E2-AF5F-8567C8910B55}">
            <xm:f>OR(Ram_3!$AU$10=1,Ram_3!$AU$10=3)</xm:f>
            <x14:dxf>
              <fill>
                <patternFill patternType="darkDown"/>
              </fill>
            </x14:dxf>
          </x14:cfRule>
          <xm:sqref>CH13</xm:sqref>
        </x14:conditionalFormatting>
        <x14:conditionalFormatting xmlns:xm="http://schemas.microsoft.com/office/excel/2006/main">
          <x14:cfRule type="expression" priority="3" id="{AD18C3BA-B82E-482E-AD34-29D23F80C7D2}">
            <xm:f>OR(Ram_3!$AU$10=2,Ram_3!$AU$10=3)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65536"/>
  <sheetViews>
    <sheetView showGridLines="0" showRowColHeaders="0" zoomScaleNormal="100" workbookViewId="0">
      <selection activeCell="H8" sqref="H8:Q8"/>
    </sheetView>
  </sheetViews>
  <sheetFormatPr defaultColWidth="0" defaultRowHeight="15" customHeight="1"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71093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4.42578125" style="423" customWidth="1"/>
    <col min="45" max="45" width="14.42578125" style="423" customWidth="1"/>
    <col min="46" max="46" width="14.140625" style="423" hidden="1" customWidth="1"/>
    <col min="47" max="48" width="14.140625" style="450" hidden="1" customWidth="1"/>
    <col min="49" max="55" width="14.140625" style="423" hidden="1" customWidth="1"/>
    <col min="5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"&amp;4</f>
        <v>Rámeček  4</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IFERROR(IF(OR(VLOOKUP(H8,kombinace_4!$A:$E,5,0)=1,H8=kombinace_4!A27,H8=kombinace_4!A28),'Translate&amp;Prices&amp;Logo'!B635,""),"")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IFERROR(IF(kombinace_4!FC2=TRUE,'Translate&amp;Prices&amp;Logo'!B654,IF(VLOOKUP(H8,kombinace_4!$A:$E,5,0)=3,'Translate&amp;Prices&amp;Logo'!B642,"")),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IF(kombinace_4!FC2=TRUE,AB4,AU2)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VLOOKUP(H8,kombinace_4!$A:$B,2,0)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IF(AU10&gt;0,'Translate&amp;Prices&amp;Logo'!B303,IF(H8=kombinace_4!A58,'Translate&amp;Prices&amp;Logo'!B578,IF(H8=kombinace_4!A60,'Translate&amp;Prices&amp;Logo'!B579,IF(H8=kombinace_4!A62,'Translate&amp;Prices&amp;Logo'!B580,0))))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IFERROR(IF(AND(VLOOKUP(H8,kombinace_4!$A:$D,4,0)=1,kombinace_4!FC2=FALSE),'Translate&amp;Prices&amp;Logo'!$B$543,0),0)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VLOOKUP(H12,kombinace_4!$DP:$DQ,2,0)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IFERROR(VLOOKUP(H9,kombinace_4!$BY$13:$BZ$15,2,0),0)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IFERROR(IF(kombinace_4!$H$1=TRUE,BA2+AY3,0),0)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IF(AU9=2,INDIRECT(CONCATENATE("_",AV7,"_",H13,"_",AA29)),IF(AU9=3,INDIRECT(VLOOKUP(H13,kombinace_4!$AA:$AB,2,0))))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IF(H15=kombinace_4!AB40,'Translate&amp;Prices&amp;Logo'!$B$224,IF(H15=kombinace_4!AB41,'Translate&amp;Prices&amp;Logo'!$B$224,IF(H12=kombinace_4!BQ2,'Translate&amp;Prices&amp;Logo'!$B$222,'Translate&amp;Prices&amp;Logo'!$B$218)))</f>
        <v>Výběr pozice rámečku</v>
      </c>
      <c r="C16" s="654"/>
      <c r="D16" s="654"/>
      <c r="E16" s="654"/>
      <c r="F16" s="652"/>
      <c r="G16" s="652"/>
      <c r="H16" s="652"/>
      <c r="I16" s="652"/>
      <c r="J16" s="685" t="str">
        <f>IF(OR(H15=kombinace_4!AB40,H15=kombinace_4!AB7,H15=kombinace_4!AB15,H15=kombinace_4!AB21,H15=kombinace_4!AB22,H15=kombinace_4!AB23),'Translate&amp;Prices&amp;Logo'!$B$226,IF(H15=kombinace_4!AB41,'Translate&amp;Prices&amp;Logo'!$B$226,'Translate&amp;Prices&amp;Logo'!$B$232))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IF(H12='Translate&amp;Prices&amp;Logo'!B551,'Translate&amp;Prices&amp;Logo'!B238,IF(H15=kombinace_4!AB8,'Translate&amp;Prices&amp;Logo'!B284,0))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VLOOKUP(H17,kombinace_4!$BY:$BZ,2,0)</f>
        <v>#N/A</v>
      </c>
      <c r="AV17" s="452"/>
    </row>
    <row r="18" spans="1:52" ht="18" customHeight="1">
      <c r="A18" s="371"/>
      <c r="B18" s="632">
        <f>IFERROR(IF(VLOOKUP(H15,kombinace_4!CD:CE,2,0)=1,'Translate&amp;Prices&amp;Logo'!$B$547,0),0)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IFERROR(IF(H12='Translate&amp;Prices&amp;Logo'!B551,'Translate&amp;Prices&amp;Logo'!$B$223,IF(VLOOKUP(H15,kombinace_4!CD:CE,2,0)=1,'Translate&amp;Prices&amp;Logo'!$B$223,)),0)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IFERROR(IF(H12=kombinace_4!BR2,VLOOKUP(H15,kombinace_4!$CD:$CF,3,0),IF(H12=kombinace_4!BQ2,1,0)),0)</f>
        <v>0</v>
      </c>
      <c r="AV19" s="452">
        <f>IFERROR(VLOOKUP(H15,kombinace_4!$CD:$CF,3,0),0)</f>
        <v>0</v>
      </c>
    </row>
    <row r="20" spans="1:52" ht="18" customHeight="1">
      <c r="A20" s="371"/>
      <c r="B20" s="657">
        <f>IFERROR('Translate&amp;Prices&amp;Logo'!$B$242&amp;" "&amp;(VLOOKUP(H17,kombinace_4!$BY$32:$CA$35,2,0)),0)</f>
        <v>0</v>
      </c>
      <c r="C20" s="658"/>
      <c r="D20" s="658"/>
      <c r="E20" s="658"/>
      <c r="F20" s="651">
        <v>100</v>
      </c>
      <c r="G20" s="651"/>
      <c r="H20" s="651"/>
      <c r="I20" s="651"/>
      <c r="J20" s="658">
        <f>IFERROR('Translate&amp;Prices&amp;Logo'!$B$242&amp;" "&amp;(VLOOKUP(H17,kombinace_4!$BY$32:$CA$35,3,0)),0)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IF(kombinace_4!FC2=FALSE,'Translate&amp;Prices&amp;Logo'!$B$173,"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VLOOKUP(H17,kombinace_4!$BY:$BZ,2,0)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VLOOKUP(H27,kombinace_4!$BY:$BZ,2,0)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VLOOKUP(H14,kombinace_4!$DN$7:$DO$21,2,0)</f>
        <v>#N/A</v>
      </c>
      <c r="AB29" s="665">
        <f>IFERROR(IF(AND($AU$17&lt;=2,H12=kombinace_4!BQ2),'Translate&amp;Prices&amp;Logo'!$B$577,0),0)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VLOOKUP('Translate&amp;Prices&amp;Logo'!D1,kombinace_4!$EV$1:$EW$5,2,0)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20.2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IF(kombinace_4!V1=2,((AR14/1000)*(AI30/1000))*'Translate&amp;Prices&amp;Logo'!C94,0)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IF(kombinace_4!$V$1=3,IFERROR(((VLOOKUP(H24,'Translate&amp;Prices&amp;Logo'!B91:C93,2,0))*(AR14/1000)),0),0)</f>
        <v>0</v>
      </c>
    </row>
    <row r="36" spans="1:49" s="469" customFormat="1" ht="18.600000000000001" hidden="1" customHeight="1">
      <c r="A36" s="461"/>
      <c r="B36" s="469" t="str">
        <f t="array" ref="B36:B114">IF(kombinace_4!FC2=TRUE,_profily_síťka,IF(kombinace_4!H1=TRUE,_kombinovane_profily,_vše_profily))</f>
        <v>BRW (elox.)</v>
      </c>
      <c r="H36" s="469" t="str">
        <f t="array" ref="H36:H39">kombinace_4!$BY$13:$BY$15</f>
        <v>Horizontálně</v>
      </c>
      <c r="L36" s="469" t="str">
        <f t="array" ref="L36:M36">IF(kombinace_4!H1=TRUE,kombinace_4!$BQ$2:$BR$2,IF(H8=kombinace_4!A35,kombinace_4!$BQ$2,IF(H8=kombinace_4!A36,kombinace_4!$BQ$2,IF(H8=kombinace_4!A37,kombinace_4!$BQ$2,IF(H8=kombinace_4!A64,kombinace_4!$BQ$2,IF(H8=kombinace_4!A65,kombinace_4!$BQ$2,IF(H8=kombinace_4!A66,kombinace_4!$BQ$2,IF(H8=kombinace_4!A67,kombinace_4!$BQ$2,kombinace_4!$BQ$2:$BR$2))))))))</f>
        <v>Závěsy</v>
      </c>
      <c r="M36" s="469" t="str">
        <v>Závěsy</v>
      </c>
      <c r="P36" s="469" t="str">
        <f t="array" ref="P36:P38">IF(H13=kombinace_4!BQ11,kombinace_4!$DN$2,kombinace_4!$DN$2:$DN$4)</f>
        <v>Naložený</v>
      </c>
      <c r="T36" s="469" t="e">
        <f t="array" aca="1" ref="T36:T45" ca="1">IF(H13=kombinace_4!BQ11,kombinace_4!$FA$2:$FA$9,IF(AND(OR(H8=kombinace_4!A35,H8=kombinace_4!A37),H13=kombinace_4!BQ4),INDIRECT(VLOOKUP(CONCATENATE("_",$AV$7,"_",$H$13,"_",$AA$29,"_Rocca"),kombinace_4!$ER:$ES,2,0)),IF($AU$9=2,INDIRECT(VLOOKUP(CONCATENATE("_",$AV$7,"_",$H$13,"_",$AA$29),kombinace_4!$ER:$ES,2,0)),IF($AU$9=3,INDIRECT(VLOOKUP($T$47,kombinace_4!$AA:$AB,2,0)),$Y$48))))</f>
        <v>#N/A</v>
      </c>
      <c r="Y36" s="469" t="str">
        <f t="array" ref="Y36:Y39">IF(kombinace_4!$H$1=TRUE,_znacka_zavesy,IF($H$12=kombinace_4!$BQ$2,_znacka_zavesy,_znacka_vyklopy))</f>
        <v>Blum</v>
      </c>
      <c r="AF36" s="469" t="e">
        <f t="array" aca="1" ref="AF36" ca="1">INDIRECT(CONCATENATE("_",AV7,"_",H15))</f>
        <v>#N/A</v>
      </c>
      <c r="AJ36" s="469">
        <f t="array" ref="AJ36:AJ40">IF(AM19&lt;2100,kombinace_4!BY8:BY12,kombinace_4!BY8:BY12)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IF($H$12=kombinace_4!$BQ$2,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IF(kombinace_4!H1=TRUE,kombinace_4!$BQ$2:$BR$2,IF(H8=kombinace_4!A35,kombinace_4!$BQ$2,IF(H8=kombinace_4!A36,kombinace_4!$BQ$2,IF(H8=kombinace_4!A37,kombinace_4!$BQ$2,kombinace_4!$BQ$2:$BR$2))))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CONCATENATE(H13,"_",VLOOKUP(kombinace_4!H1,kombinace_4!$J$14:$K$15,2,0))</f>
        <v>_2</v>
      </c>
    </row>
    <row r="48" spans="1:49" s="469" customFormat="1" ht="14.85" hidden="1" customHeight="1">
      <c r="A48" s="452"/>
      <c r="B48" s="469" t="str">
        <v>Corleone (elox.)</v>
      </c>
      <c r="T48" s="469" t="e">
        <f>VLOOKUP(CONCATENATE("_",AV7,"_",H13,"_",AA29),kombinace_4!ER:ES,2,0)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IF($H$15=kombinace_4!$AB$40,_strong_vzpera_horni,IF($H$15=kombinace_4!$AB$41,_stronglift_klopna,IF($H$12=kombinace_4!$BQ$2,$J$65:$J$71,'Translate&amp;Prices&amp;Logo'!$B$185:$B$186)))</f>
        <v>Horní dvířko</v>
      </c>
      <c r="K54" s="469" t="str">
        <f t="array" ref="K54:K58">IF(OR($H$15=kombinace_4!AB40,$H$15=kombinace_4!AB7,$H$15=kombinace_4!AB15,$H$15=kombinace_4!AB21,$H$15=kombinace_4!AB22,$H$15=kombinace_4!AB23),'Translate&amp;Prices&amp;Logo'!$B$229:$B$231,IF($H$15=kombinace_4!AB41,'Translate&amp;Prices&amp;Logo'!$B$229:$B$231,'Translate&amp;Prices&amp;Logo'!$B$233:$B$237))</f>
        <v>Úzký ALU rámeček</v>
      </c>
      <c r="P54" s="469" t="str">
        <f t="array" ref="P54:P57">IF(OR(H8=kombinace_4!F14,H8=kombinace_4!F15,H8=kombinace_4!F16,H8=kombinace_4!F17,H8=kombinace_4!F18,H8=kombinace_4!F19),_zavesy_kombo,IF(H15=kombinace_4!AB8,_ramena_HL,_umisteni_zavesu))</f>
        <v>Vlevo</v>
      </c>
      <c r="T54" s="469" t="str">
        <f t="array" ref="T54:T56">kombinace_4!$EN$3:$EN$5</f>
        <v>Bez úprav</v>
      </c>
      <c r="U54" s="469">
        <v>1</v>
      </c>
      <c r="X54" s="469" t="str">
        <f t="array" ref="X54:X56">kombinace_4!$X$3:$X$5</f>
        <v>Transparentní</v>
      </c>
      <c r="AD54" s="469" t="str">
        <f t="array" aca="1" ref="AD54:AD116" ca="1">IF(kombinace_4!FC2=TRUE,IF(OR(H8=kombinace_4!A13,H8=kombinace_4!A55),síťka_pro_zlatýprofil,IF(OR(H8=kombinace_4!A7,H8=kombinace_4!A51),síťka_pro_černýprofil,IF(OR(H8=kombinace_4!A4,H8=kombinace_4!A5,H8=kombinace_4!A53,H8=kombinace_4!A54),síťka_pro_bílýprofil,IF(OR(H8=kombinace_4!A3,H8=kombinace_4!A50),síťka_pro_eloxprofil)))),IF(OR(H8=kombinace_4!A15,H8=kombinace_4!A16,H8=kombinace_4!A18,H8=kombinace_4!A27,H8=kombinace_4!A28,H8=kombinace_4!A25,H8=kombinace_4!A26),_corleone,IF(H8="",_N1,INDIRECT(kombinace_4!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65536" ht="29.25" hidden="1" customHeight="1"/>
  </sheetData>
  <sheetProtection algorithmName="SHA-512" hashValue="fE8UB2q2rw0GZ4CZEKEeFNNwNlSnq9nD5wiIqDabYSeCOcowDf6r/LNTQuGh0K3YkMeH/ciQqcFPmTKKbg1a3g==" saltValue="QJnD5Gt+K8iFHIVoTBQDnQ==" spinCount="100000" sheet="1" objects="1" scenarios="1" selectLockedCells="1"/>
  <protectedRanges>
    <protectedRange sqref="G7 I7:R7" name="Oblast1"/>
  </protectedRanges>
  <mergeCells count="94">
    <mergeCell ref="G7:Q7"/>
    <mergeCell ref="B32:Q32"/>
    <mergeCell ref="B28:F28"/>
    <mergeCell ref="H28:Q28"/>
    <mergeCell ref="H29:I29"/>
    <mergeCell ref="J29:Q29"/>
    <mergeCell ref="B30:J31"/>
    <mergeCell ref="K30:K31"/>
    <mergeCell ref="L30:O31"/>
    <mergeCell ref="P30:Q31"/>
    <mergeCell ref="H23:Q23"/>
    <mergeCell ref="B11:F11"/>
    <mergeCell ref="H11:L11"/>
    <mergeCell ref="M11:Q11"/>
    <mergeCell ref="B12:F12"/>
    <mergeCell ref="H12:Q12"/>
    <mergeCell ref="H21:Q21"/>
    <mergeCell ref="S25:Y31"/>
    <mergeCell ref="AF30:AH30"/>
    <mergeCell ref="AB29:AO29"/>
    <mergeCell ref="AM23:AM25"/>
    <mergeCell ref="AL19:AL25"/>
    <mergeCell ref="AC25:AD25"/>
    <mergeCell ref="AJ26:AJ27"/>
    <mergeCell ref="AF25:AK25"/>
    <mergeCell ref="B19:F19"/>
    <mergeCell ref="AR19:AR23"/>
    <mergeCell ref="AI30:AK30"/>
    <mergeCell ref="AO31:AR32"/>
    <mergeCell ref="B24:F24"/>
    <mergeCell ref="H24:Q24"/>
    <mergeCell ref="AC24:AG24"/>
    <mergeCell ref="B25:F25"/>
    <mergeCell ref="H25:Q25"/>
    <mergeCell ref="S24:U24"/>
    <mergeCell ref="B26:F26"/>
    <mergeCell ref="H26:Q26"/>
    <mergeCell ref="B27:F27"/>
    <mergeCell ref="H27:Q27"/>
    <mergeCell ref="H19:Q19"/>
    <mergeCell ref="N20:Q20"/>
    <mergeCell ref="H18:Q18"/>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S13:Y17"/>
    <mergeCell ref="B14:F14"/>
    <mergeCell ref="H13:Q13"/>
    <mergeCell ref="H14:Q14"/>
    <mergeCell ref="B13:F13"/>
    <mergeCell ref="AQ7:AQ27"/>
    <mergeCell ref="A2:AJ3"/>
    <mergeCell ref="AP2:AS3"/>
    <mergeCell ref="BD3:BH3"/>
    <mergeCell ref="BI3:BM3"/>
    <mergeCell ref="B5:D5"/>
    <mergeCell ref="F5:H5"/>
    <mergeCell ref="J5:L5"/>
    <mergeCell ref="N5:P5"/>
    <mergeCell ref="R5:T5"/>
    <mergeCell ref="AB4:AN5"/>
    <mergeCell ref="M10:Q10"/>
    <mergeCell ref="AC8:AG8"/>
    <mergeCell ref="S10:Y12"/>
    <mergeCell ref="S18:Y23"/>
    <mergeCell ref="H10:L10"/>
    <mergeCell ref="B33:Y33"/>
    <mergeCell ref="V5:X5"/>
    <mergeCell ref="B7:F7"/>
    <mergeCell ref="S7:U7"/>
    <mergeCell ref="AJ7:AJ8"/>
    <mergeCell ref="H8:Q8"/>
    <mergeCell ref="B9:F9"/>
    <mergeCell ref="H9:Q9"/>
    <mergeCell ref="AC9:AD9"/>
    <mergeCell ref="N16:Q16"/>
    <mergeCell ref="S8:Y9"/>
    <mergeCell ref="AF9:AK9"/>
    <mergeCell ref="AD10:AD12"/>
    <mergeCell ref="AE10:AE16"/>
    <mergeCell ref="AD14:AD21"/>
    <mergeCell ref="AB19:AC19"/>
  </mergeCells>
  <conditionalFormatting sqref="A1:AS1 A4:AB4 AO4:AS5 A5 E5 I5 M5 Q5 U5 Y5:AA5 A6:Z6 AR6:AS13 V7:Z7 A7:A32 R8:R31 Z8:Z31 AS14:AS32 AR24:AR30 B29:G29 AA29 AP29:AQ29 AA30:AE30 AL30:AQ30 AA31:AN31 R32:AN32 A33:B33 Z33:AE33 AG33:IV33">
    <cfRule type="expression" dxfId="437" priority="23">
      <formula>$AS$33=1</formula>
    </cfRule>
  </conditionalFormatting>
  <conditionalFormatting sqref="B5 F5 J5 N5 R5 V5">
    <cfRule type="cellIs" dxfId="436" priority="29" operator="equal">
      <formula>$A$2</formula>
    </cfRule>
  </conditionalFormatting>
  <conditionalFormatting sqref="B10:G10">
    <cfRule type="expression" dxfId="435" priority="22">
      <formula>$AS$33=1</formula>
    </cfRule>
  </conditionalFormatting>
  <conditionalFormatting sqref="B16:I16">
    <cfRule type="expression" dxfId="434" priority="52">
      <formula>$AU$19=0</formula>
    </cfRule>
  </conditionalFormatting>
  <conditionalFormatting sqref="B9:Q9">
    <cfRule type="expression" dxfId="433" priority="37">
      <formula>$B$9=0</formula>
    </cfRule>
  </conditionalFormatting>
  <conditionalFormatting sqref="B11:Q11">
    <cfRule type="expression" dxfId="432" priority="51">
      <formula>$AU$10=0</formula>
    </cfRule>
  </conditionalFormatting>
  <conditionalFormatting sqref="B14:Q14">
    <cfRule type="expression" dxfId="431" priority="36">
      <formula>$B$14=0</formula>
    </cfRule>
  </conditionalFormatting>
  <conditionalFormatting sqref="B17:Q17">
    <cfRule type="expression" dxfId="430" priority="35">
      <formula>$B$17=0</formula>
    </cfRule>
  </conditionalFormatting>
  <conditionalFormatting sqref="B18:Q18">
    <cfRule type="expression" dxfId="429" priority="11" stopIfTrue="1">
      <formula>$B$18=0</formula>
    </cfRule>
    <cfRule type="expression" dxfId="428" priority="14">
      <formula>$F$16=$H$61</formula>
    </cfRule>
  </conditionalFormatting>
  <conditionalFormatting sqref="B19:Q19">
    <cfRule type="expression" dxfId="427" priority="34">
      <formula>$B$19=0</formula>
    </cfRule>
  </conditionalFormatting>
  <conditionalFormatting sqref="B20:Q20">
    <cfRule type="expression" dxfId="426" priority="31">
      <formula>$B$19=0</formula>
    </cfRule>
    <cfRule type="expression" dxfId="425" priority="30">
      <formula>$B$20=0</formula>
    </cfRule>
  </conditionalFormatting>
  <conditionalFormatting sqref="B21:Q21">
    <cfRule type="expression" dxfId="424" priority="3">
      <formula>$B$21=" "</formula>
    </cfRule>
  </conditionalFormatting>
  <conditionalFormatting sqref="B24:Q24">
    <cfRule type="expression" dxfId="423" priority="17" stopIfTrue="1">
      <formula>$T$59&lt;3</formula>
    </cfRule>
  </conditionalFormatting>
  <conditionalFormatting sqref="H23">
    <cfRule type="expression" dxfId="422" priority="38">
      <formula>$H$25&gt;0</formula>
    </cfRule>
  </conditionalFormatting>
  <conditionalFormatting sqref="H10:L11">
    <cfRule type="expression" dxfId="421" priority="27">
      <formula>$AU$10=2</formula>
    </cfRule>
  </conditionalFormatting>
  <conditionalFormatting sqref="H10:Q10">
    <cfRule type="expression" dxfId="420" priority="26">
      <formula>$AU$10=0</formula>
    </cfRule>
  </conditionalFormatting>
  <conditionalFormatting sqref="H22:Q22 B22:G23">
    <cfRule type="expression" dxfId="419" priority="21">
      <formula>$AS$33=1</formula>
    </cfRule>
  </conditionalFormatting>
  <conditionalFormatting sqref="J16:M16">
    <cfRule type="expression" dxfId="418" priority="13" stopIfTrue="1">
      <formula>$K$60=TRUE</formula>
    </cfRule>
  </conditionalFormatting>
  <conditionalFormatting sqref="J16:N16">
    <cfRule type="expression" dxfId="417" priority="15" stopIfTrue="1">
      <formula>$AV$19=0</formula>
    </cfRule>
  </conditionalFormatting>
  <conditionalFormatting sqref="M10:Q11">
    <cfRule type="expression" dxfId="416" priority="25">
      <formula>$AU$10=1</formula>
    </cfRule>
  </conditionalFormatting>
  <conditionalFormatting sqref="N16:Q16">
    <cfRule type="expression" dxfId="415" priority="12" stopIfTrue="1">
      <formula>$K$60=TRUE</formula>
    </cfRule>
  </conditionalFormatting>
  <conditionalFormatting sqref="S7:S8">
    <cfRule type="cellIs" dxfId="414" priority="33" operator="equal">
      <formula>0</formula>
    </cfRule>
  </conditionalFormatting>
  <conditionalFormatting sqref="S24">
    <cfRule type="cellIs" dxfId="413" priority="32" operator="equal">
      <formula>0</formula>
    </cfRule>
  </conditionalFormatting>
  <conditionalFormatting sqref="S8:Y23 AQ7:AQ27 S25:Y31 AB29:AO29">
    <cfRule type="expression" dxfId="412" priority="19">
      <formula>$AS$33=1</formula>
    </cfRule>
  </conditionalFormatting>
  <conditionalFormatting sqref="S8:Y23">
    <cfRule type="cellIs" dxfId="411" priority="28" operator="equal">
      <formula>0</formula>
    </cfRule>
  </conditionalFormatting>
  <conditionalFormatting sqref="S18:Y23">
    <cfRule type="expression" dxfId="410" priority="16" stopIfTrue="1">
      <formula>$S$18=FALSE</formula>
    </cfRule>
  </conditionalFormatting>
  <conditionalFormatting sqref="V24:Y24">
    <cfRule type="expression" dxfId="409" priority="20">
      <formula>$AS$33=1</formula>
    </cfRule>
  </conditionalFormatting>
  <conditionalFormatting sqref="AA9:AA10 AA24:AA25">
    <cfRule type="expression" dxfId="408" priority="7" stopIfTrue="1">
      <formula>$AU$17=1</formula>
    </cfRule>
  </conditionalFormatting>
  <conditionalFormatting sqref="AA16:AA17">
    <cfRule type="expression" dxfId="407" priority="2" stopIfTrue="1">
      <formula>$AU$24="1_3"</formula>
    </cfRule>
  </conditionalFormatting>
  <conditionalFormatting sqref="AC6:AD6 AM6:AN6">
    <cfRule type="expression" dxfId="406" priority="9" stopIfTrue="1">
      <formula>$AU$17=3</formula>
    </cfRule>
  </conditionalFormatting>
  <conditionalFormatting sqref="AC25:AD25 AJ26:AJ27">
    <cfRule type="expression" dxfId="405" priority="46">
      <formula>$AU$25=4</formula>
    </cfRule>
  </conditionalFormatting>
  <conditionalFormatting sqref="AC28:AD28 AM28:AN28">
    <cfRule type="expression" dxfId="404" priority="8" stopIfTrue="1">
      <formula>$AU$17=4</formula>
    </cfRule>
  </conditionalFormatting>
  <conditionalFormatting sqref="AC8:AG8">
    <cfRule type="expression" dxfId="403" priority="50">
      <formula>$AU$25=3</formula>
    </cfRule>
  </conditionalFormatting>
  <conditionalFormatting sqref="AC24:AG24">
    <cfRule type="expression" dxfId="402" priority="47">
      <formula>$AU$25=4</formula>
    </cfRule>
  </conditionalFormatting>
  <conditionalFormatting sqref="AD10:AD12 AB19:AC19">
    <cfRule type="expression" dxfId="401" priority="40">
      <formula>$AU$25=1</formula>
    </cfRule>
  </conditionalFormatting>
  <conditionalFormatting sqref="AD14:AD21">
    <cfRule type="expression" dxfId="400" priority="39">
      <formula>$AU$25=1</formula>
    </cfRule>
  </conditionalFormatting>
  <conditionalFormatting sqref="AE10:AE16">
    <cfRule type="expression" dxfId="399" priority="48">
      <formula>$AU$25=1</formula>
    </cfRule>
  </conditionalFormatting>
  <conditionalFormatting sqref="AF9:AK9">
    <cfRule type="expression" dxfId="398" priority="43">
      <formula>$AU$25=3</formula>
    </cfRule>
  </conditionalFormatting>
  <conditionalFormatting sqref="AF25:AK25">
    <cfRule type="expression" dxfId="397" priority="45">
      <formula>$AU$25=4</formula>
    </cfRule>
  </conditionalFormatting>
  <conditionalFormatting sqref="AG6:AH6">
    <cfRule type="expression" dxfId="396" priority="5" stopIfTrue="1">
      <formula>$AU$24="3_3"</formula>
    </cfRule>
  </conditionalFormatting>
  <conditionalFormatting sqref="AG28:AH28">
    <cfRule type="expression" dxfId="395" priority="4" stopIfTrue="1">
      <formula>$AU$24="4_3"</formula>
    </cfRule>
  </conditionalFormatting>
  <conditionalFormatting sqref="AI19">
    <cfRule type="expression" dxfId="394" priority="1" stopIfTrue="1">
      <formula>AV1048555=2</formula>
    </cfRule>
  </conditionalFormatting>
  <conditionalFormatting sqref="AJ7:AJ8 AC9:AD9">
    <cfRule type="expression" dxfId="393" priority="44">
      <formula>$AU$25=3</formula>
    </cfRule>
  </conditionalFormatting>
  <conditionalFormatting sqref="AL19:AL25">
    <cfRule type="expression" dxfId="392" priority="49">
      <formula>$AU$25=2</formula>
    </cfRule>
  </conditionalFormatting>
  <conditionalFormatting sqref="AM14:AM21">
    <cfRule type="expression" dxfId="391" priority="41">
      <formula>$AU$25=2</formula>
    </cfRule>
  </conditionalFormatting>
  <conditionalFormatting sqref="AN19:AO19 AM23:AM25">
    <cfRule type="expression" dxfId="390" priority="42">
      <formula>$AU$25=2</formula>
    </cfRule>
  </conditionalFormatting>
  <conditionalFormatting sqref="AP9:AP10 AP24:AP25">
    <cfRule type="expression" dxfId="389" priority="6" stopIfTrue="1">
      <formula>$AU$17=2</formula>
    </cfRule>
  </conditionalFormatting>
  <conditionalFormatting sqref="AP16:AP17">
    <cfRule type="expression" dxfId="388" priority="10" stopIfTrue="1">
      <formula>$AU$24="2_3"</formula>
    </cfRule>
  </conditionalFormatting>
  <conditionalFormatting sqref="AQ6 AQ28">
    <cfRule type="expression" dxfId="387" priority="18">
      <formula>$AS$33=1</formula>
    </cfRule>
  </conditionalFormatting>
  <conditionalFormatting sqref="AQ7:AQ27 AB29:AO29">
    <cfRule type="cellIs" dxfId="386" priority="24" operator="equal">
      <formula>0</formula>
    </cfRule>
  </conditionalFormatting>
  <dataValidations count="24">
    <dataValidation type="list" allowBlank="1" showInputMessage="1" showErrorMessage="1" sqref="H18:Q18" xr:uid="{02325326-D0EA-409C-8092-85BDFB313B67}">
      <formula1>INDIRECT(CONCATENATE("_",AV7,"_",H15))</formula1>
    </dataValidation>
    <dataValidation type="whole" allowBlank="1" showInputMessage="1" showErrorMessage="1" sqref="J11 L11" xr:uid="{12CBA8B5-B36F-4184-895B-D40078B9654A}">
      <formula1>1</formula1>
      <formula2>(V16/100)-1</formula2>
    </dataValidation>
    <dataValidation type="whole" allowBlank="1" showInputMessage="1" showErrorMessage="1" sqref="H11:I11" xr:uid="{C519498D-9AD0-47EC-960A-D2CB2997ECBB}">
      <formula1>1</formula1>
      <formula2>(AR14/100)-1</formula2>
    </dataValidation>
    <dataValidation type="whole" allowBlank="1" showInputMessage="1" showErrorMessage="1" sqref="M11:Q11" xr:uid="{6689007C-0879-4F53-8672-FD7CDD01145C}">
      <formula1>1</formula1>
      <formula2>(AI30/100)-1</formula2>
    </dataValidation>
    <dataValidation type="whole" allowBlank="1" showInputMessage="1" showErrorMessage="1" sqref="K11" xr:uid="{597D1863-A0E0-4DA4-9C80-63F8162DC5BC}">
      <formula1>1</formula1>
      <formula2>(#REF!/100)-1</formula2>
    </dataValidation>
    <dataValidation type="whole" allowBlank="1" showInputMessage="1" showErrorMessage="1" errorTitle="Minimum 80 mm" sqref="F20:I20 N20:Q20" xr:uid="{B4071CE1-5CB5-4975-8768-8209D11968AC}">
      <formula1>80</formula1>
      <formula2>1300</formula2>
    </dataValidation>
    <dataValidation type="list" allowBlank="1" showInputMessage="1" showErrorMessage="1" sqref="H27:Q27" xr:uid="{B085C1C7-A604-4CD2-8C14-A72CE70F2DED}">
      <formula1>_umisteni_zavesu</formula1>
    </dataValidation>
    <dataValidation type="whole" operator="greaterThanOrEqual" allowBlank="1" showInputMessage="1" showErrorMessage="1" sqref="H26:Q26" xr:uid="{39207819-1420-4B69-9D93-5900B7567B78}">
      <formula1>1</formula1>
    </dataValidation>
    <dataValidation type="list" allowBlank="1" showInputMessage="1" showErrorMessage="1" sqref="H12:Q12" xr:uid="{D2264EEE-A825-4E14-9CE6-14947FDF033B}">
      <formula1>$L$36:$M$36</formula1>
    </dataValidation>
    <dataValidation type="list" allowBlank="1" showInputMessage="1" showErrorMessage="1" sqref="H24:Q24" xr:uid="{9127EC2B-93B1-46D5-8293-27D118083152}">
      <formula1>$X$54:$X$56</formula1>
    </dataValidation>
    <dataValidation type="list" allowBlank="1" showInputMessage="1" showErrorMessage="1" sqref="H21:Q21" xr:uid="{659539F1-2F07-41E4-B0F6-118258A7D522}">
      <formula1>$T$54:$T$56</formula1>
    </dataValidation>
    <dataValidation type="list" allowBlank="1" showInputMessage="1" showErrorMessage="1" sqref="H17:Q17" xr:uid="{B472BEC3-FA6D-45B0-A231-EEB1ACDD26C8}">
      <formula1>$P$54:$P$57</formula1>
    </dataValidation>
    <dataValidation type="list" allowBlank="1" showInputMessage="1" showErrorMessage="1" sqref="N16:Q16" xr:uid="{088D0A98-0AE8-4C14-A3A4-58A465C18789}">
      <formula1>$K$54:$K$58</formula1>
    </dataValidation>
    <dataValidation type="list" allowBlank="1" showInputMessage="1" showErrorMessage="1" sqref="H14:Q14" xr:uid="{28D66AF6-492B-413B-BDA5-5B9E6AFAC92C}">
      <formula1>$P$36:$P$38</formula1>
    </dataValidation>
    <dataValidation type="list" allowBlank="1" showInputMessage="1" showErrorMessage="1" sqref="H13:Q13" xr:uid="{E90C969A-F4FF-4985-A4FD-C3A86DEA0802}">
      <formula1>IF(M38="Salice",$L$38,$L$38:$L$42)</formula1>
    </dataValidation>
    <dataValidation type="list" allowBlank="1" showInputMessage="1" showErrorMessage="1" sqref="H29:I29" xr:uid="{E6092ECF-18C6-4BFB-AB2C-EE46145F4648}">
      <formula1>$F$29:$G$29</formula1>
    </dataValidation>
    <dataValidation type="list" allowBlank="1" showInputMessage="1" showErrorMessage="1" sqref="H25:Q25" xr:uid="{1038A38B-FE8A-42EA-A05C-4BE6CB416AB6}">
      <formula1>$AD$54:$AD$111</formula1>
    </dataValidation>
    <dataValidation type="list" allowBlank="1" showInputMessage="1" showErrorMessage="1" sqref="F16:I16" xr:uid="{E58EEB95-2FC3-4186-BC37-A51B4020DCE0}">
      <formula1>$H$54:$H$60</formula1>
    </dataValidation>
    <dataValidation type="list" allowBlank="1" showInputMessage="1" showErrorMessage="1" sqref="H19:Q19" xr:uid="{CCF20881-8B1A-4A3F-846B-A51578562546}">
      <formula1>IF(H13="Salice",$AJ$36,($AJ$36:$AJ$40))</formula1>
    </dataValidation>
    <dataValidation type="list" allowBlank="1" showInputMessage="1" showErrorMessage="1" sqref="H15:Q15" xr:uid="{F9B1DC7C-B8B4-480F-8CE4-B2967FAA63E0}">
      <formula1>$T$36:$T$45</formula1>
    </dataValidation>
    <dataValidation type="whole" operator="lessThan" showErrorMessage="1" errorTitle="MAX 1300 mm" error="MAXIMUM 1250 mm x 2550 mm" sqref="AI30:AK30" xr:uid="{87A6DFC1-DDC2-4C70-ABDF-7D7AA092E7C8}">
      <formula1>IF(AR14&gt;1252,1251,2551)</formula1>
    </dataValidation>
    <dataValidation type="whole" operator="lessThan" showErrorMessage="1" errorTitle="MAX 2500" error="MAXIMUM 1250 mm x 2550 mm" sqref="AR14:AR18" xr:uid="{509A4CF6-CD40-4A40-A804-4C28CFFE4010}">
      <formula1>IF(AI30&gt;=1251,1251,2551)</formula1>
    </dataValidation>
    <dataValidation type="list" allowBlank="1" showInputMessage="1" showErrorMessage="1" sqref="H8:Q8" xr:uid="{48A7D1DF-7CCF-4990-84A6-595D1F01E6B6}">
      <formula1>_Roletka_profil_4</formula1>
    </dataValidation>
    <dataValidation type="list" allowBlank="1" showInputMessage="1" showErrorMessage="1" sqref="H9:Q9" xr:uid="{DAB08812-0BCB-4876-98BE-6CDC285AA30C}">
      <formula1>_roletka_predely</formula1>
    </dataValidation>
  </dataValidations>
  <hyperlinks>
    <hyperlink ref="AP2:AS3" location="Hlavní!A1" display="Hlavní!A1" xr:uid="{3592411A-7D73-4795-A7B6-4790F11B0D0B}"/>
    <hyperlink ref="F5:H5" location="Ram_2!A1" display="Ram_2!A1" xr:uid="{1B1AA3FE-A5B1-49E8-85ED-0C2EA01621CC}"/>
    <hyperlink ref="N5:P5" location="Ram_4!A1" display="Ram_4!A1" xr:uid="{AD500C7B-88EE-44BF-9F46-FF6269B4EC06}"/>
    <hyperlink ref="R5:T5" location="Ram_5!A1" display="Ram_5!A1" xr:uid="{2735668F-0130-4937-B1B8-9B5362D888EA}"/>
    <hyperlink ref="V5:X5" location="Ram_6!A1" display="Ram_6!A1" xr:uid="{2A14109C-F2B0-43E9-8805-020BEE2DEDFB}"/>
    <hyperlink ref="B5:D5" location="Ram_1!A1" display="Ram_1!A1" xr:uid="{1EE64497-789F-49EB-BF85-5DED03655F03}"/>
    <hyperlink ref="AO31:AR32" location="_souhrn!A1" display="_souhrn!A1" xr:uid="{83DDFFCA-B497-44D3-89F2-E76DA2575ADE}"/>
    <hyperlink ref="J5:L5" location="Ram_3!A1" display="Ram_3!A1" xr:uid="{C276252A-03FE-44B7-84BE-349F62B37AF9}"/>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1" r:id="rId3"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332805" r:id="rId4"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48" r:id="rId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449" r:id="rId6" name="Check Box 1113">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7"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mc:AlternateContent xmlns:mc="http://schemas.openxmlformats.org/markup-compatibility/2006">
          <mc:Choice Requires="x14">
            <control shapeId="783561" r:id="rId8"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3562" r:id="rId9" name="Check Box 1226">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066" r:id="rId10"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067" r:id="rId11" name="Check Box 1731">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069" r:id="rId12"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070" r:id="rId13" name="Check Box 173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4354" r:id="rId1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355" r:id="rId15" name="Check Box 2019">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356" r:id="rId16" name="Check Box 2020">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357" r:id="rId17" name="Check Box 2021">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359" r:id="rId18" name="Check Box 2023">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360" r:id="rId19" name="Check Box 2024">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361" r:id="rId20" name="Check Box 2025">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362" r:id="rId21" name="Check Box 2026">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4363" r:id="rId22" name="Check Box 202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364" r:id="rId23" name="Check Box 2028">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4365" r:id="rId24" name="Check Box 2029">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1619" r:id="rId2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1639" r:id="rId26"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H570"/>
  <sheetViews>
    <sheetView topLeftCell="O1" workbookViewId="0">
      <selection activeCell="O1" sqref="A1:XFD1048576"/>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VLOOKUP(Ram_4!H8,kombinace_4!$A:$C,3,0)</f>
        <v>#N/A</v>
      </c>
      <c r="S1" t="e">
        <f>CONCATENATE("_",R1,V1)</f>
        <v>#N/A</v>
      </c>
      <c r="U1" s="485" t="s">
        <v>2052</v>
      </c>
      <c r="V1" s="12">
        <f>IFERROR(VLOOKUP(Ram_4!H21,$EN$3:$EO$5,2,0),1)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CONCATENATE("_",Ram_4!H12,"_",Ram_4!H13)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IF(OR(Ram_4!$H$13&amp;Ram_4!$AU$7=Ram_4!$M$44,(Ram_4!$H$13&amp;Ram_4!$AU$7=Ram_4!$M$45)),'Translate&amp;Prices&amp;Logo'!B657,'Translate&amp;Prices&amp;Logo'!B554)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IF(OR(Ram_4!$H$13&amp;Ram_4!$AU$7=Ram_4!$M$44,(Ram_4!$H$13&amp;Ram_4!$AU$7=Ram_4!$M$45)),'Translate&amp;Prices&amp;Logo'!B657,'Translate&amp;Prices&amp;Logo'!B555)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IF(Ram_4!$H$9=kombinace_4!M10,1,0)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IF(Ram_4!$H$9=kombinace_4!M11,2,0)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IF(Ram_4!$H$9=kombinace_4!M12,3,0)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IF(Ram_4!AU7=2,"FREEspace","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conditionalFormatting sqref="A32:A34 A50:A55 A57:A61 A3:A13 A15:A29 A38:A42 A44:A48 A72:A99">
    <cfRule type="expression" dxfId="385" priority="44" stopIfTrue="1">
      <formula>AND(COUNTIF($A$38:$A$42, A3)+COUNTIF($A$3:$A$13, A3)+COUNTIF($A$15:$A$29, A3)+COUNTIF($A$32:$A$34, A3)+COUNTIF($A$44:$A$48, A3)+COUNTIF($A$50:$A$55, A3)+COUNTIF($A$57:$A$99, A3)&gt;1,NOT(ISBLANK(A3)))</formula>
    </cfRule>
  </conditionalFormatting>
  <conditionalFormatting sqref="A33 A55 A57:A61">
    <cfRule type="expression" dxfId="384" priority="40" stopIfTrue="1">
      <formula>AND(COUNTIF($A$55:$A$55, A33)+COUNTIF($A$57:$A$62, A33)+COUNTIF($A$33:$A$33, A33)&gt;1,NOT(ISBLANK(A33)))</formula>
    </cfRule>
  </conditionalFormatting>
  <conditionalFormatting sqref="F14:F19">
    <cfRule type="duplicateValues" dxfId="383" priority="16"/>
  </conditionalFormatting>
  <conditionalFormatting sqref="P2:P61 P63:P65536">
    <cfRule type="expression" dxfId="382" priority="38" stopIfTrue="1">
      <formula>AND(COUNTIF($P$63:$P$65536, P2)+COUNTIF($P$2:$P$61, P2)&gt;1,NOT(ISBLANK(P2)))</formula>
    </cfRule>
  </conditionalFormatting>
  <conditionalFormatting sqref="Q2 Q4 Q6:Q62 Q68:Q65536">
    <cfRule type="expression" dxfId="381" priority="45" stopIfTrue="1">
      <formula>AND(COUNTIF($Q$68:$Q$65536, Q2)+COUNTIF($Q$2:$Q$2, Q2)+COUNTIF($Q$4:$Q$4, Q2)+COUNTIF($Q$6:$Q$62, Q2)&gt;1,NOT(ISBLANK(Q2)))</formula>
    </cfRule>
  </conditionalFormatting>
  <conditionalFormatting sqref="R4:R6">
    <cfRule type="duplicateValues" dxfId="380" priority="28"/>
  </conditionalFormatting>
  <conditionalFormatting sqref="R7:R8">
    <cfRule type="duplicateValues" dxfId="379" priority="27"/>
  </conditionalFormatting>
  <conditionalFormatting sqref="R9">
    <cfRule type="duplicateValues" dxfId="378" priority="26"/>
  </conditionalFormatting>
  <conditionalFormatting sqref="R10:R33">
    <cfRule type="duplicateValues" dxfId="377" priority="34"/>
  </conditionalFormatting>
  <conditionalFormatting sqref="R34:R39">
    <cfRule type="duplicateValues" dxfId="376" priority="41"/>
  </conditionalFormatting>
  <conditionalFormatting sqref="R40:R42">
    <cfRule type="duplicateValues" dxfId="375" priority="25"/>
  </conditionalFormatting>
  <conditionalFormatting sqref="R49:R55">
    <cfRule type="duplicateValues" dxfId="374" priority="29"/>
  </conditionalFormatting>
  <conditionalFormatting sqref="R49:R61 R2 R63:R65536">
    <cfRule type="expression" dxfId="373" priority="37" stopIfTrue="1">
      <formula>AND(COUNTIF($R$2:$R$2, R2)+COUNTIF($R$63:$R$65536, R2)+COUNTIF($R$49:$R$61, R2)&gt;1,NOT(ISBLANK(R2)))</formula>
    </cfRule>
  </conditionalFormatting>
  <conditionalFormatting sqref="R56:R57">
    <cfRule type="duplicateValues" dxfId="372" priority="30"/>
  </conditionalFormatting>
  <conditionalFormatting sqref="R58:R61 R63">
    <cfRule type="expression" dxfId="371" priority="39" stopIfTrue="1">
      <formula>AND(COUNTIF($R$63:$R$63, R58)+COUNTIF($R$58:$R$61, R58)&gt;1,NOT(ISBLANK(R58)))</formula>
    </cfRule>
  </conditionalFormatting>
  <conditionalFormatting sqref="S4">
    <cfRule type="duplicateValues" dxfId="370" priority="24"/>
  </conditionalFormatting>
  <conditionalFormatting sqref="S6:S9">
    <cfRule type="duplicateValues" dxfId="369" priority="10"/>
  </conditionalFormatting>
  <conditionalFormatting sqref="S10:S15">
    <cfRule type="duplicateValues" dxfId="368" priority="23"/>
  </conditionalFormatting>
  <conditionalFormatting sqref="S16:S17">
    <cfRule type="duplicateValues" dxfId="367" priority="22"/>
  </conditionalFormatting>
  <conditionalFormatting sqref="S18:S23">
    <cfRule type="duplicateValues" dxfId="366" priority="33"/>
  </conditionalFormatting>
  <conditionalFormatting sqref="S24:S52">
    <cfRule type="duplicateValues" dxfId="365" priority="31"/>
  </conditionalFormatting>
  <conditionalFormatting sqref="T4">
    <cfRule type="duplicateValues" dxfId="364" priority="21"/>
  </conditionalFormatting>
  <conditionalFormatting sqref="U4:U6">
    <cfRule type="duplicateValues" dxfId="363" priority="20"/>
  </conditionalFormatting>
  <conditionalFormatting sqref="U7:U30">
    <cfRule type="duplicateValues" dxfId="362" priority="35"/>
  </conditionalFormatting>
  <conditionalFormatting sqref="U31:U37">
    <cfRule type="duplicateValues" dxfId="361" priority="42"/>
  </conditionalFormatting>
  <conditionalFormatting sqref="U38:U40">
    <cfRule type="duplicateValues" dxfId="360" priority="19"/>
  </conditionalFormatting>
  <conditionalFormatting sqref="V4:V6">
    <cfRule type="duplicateValues" dxfId="359" priority="18"/>
  </conditionalFormatting>
  <conditionalFormatting sqref="V7:V30">
    <cfRule type="duplicateValues" dxfId="358" priority="36"/>
  </conditionalFormatting>
  <conditionalFormatting sqref="V31:V37">
    <cfRule type="duplicateValues" dxfId="357" priority="43"/>
  </conditionalFormatting>
  <conditionalFormatting sqref="V38:V40">
    <cfRule type="duplicateValues" dxfId="356" priority="17"/>
  </conditionalFormatting>
  <conditionalFormatting sqref="AC4:AC13 AC15:AC23 AC29:AC34 AC40:AC41 AC43:AC45 AC50:AC53 AC60:AC63">
    <cfRule type="cellIs" dxfId="355" priority="32" operator="equal">
      <formula>1</formula>
    </cfRule>
  </conditionalFormatting>
  <conditionalFormatting sqref="BQ9:BQ10">
    <cfRule type="duplicateValues" dxfId="354" priority="14"/>
  </conditionalFormatting>
  <conditionalFormatting sqref="BQ2:BR2">
    <cfRule type="duplicateValues" dxfId="353" priority="15"/>
  </conditionalFormatting>
  <conditionalFormatting sqref="DT2:DT44">
    <cfRule type="duplicateValues" dxfId="350" priority="6"/>
  </conditionalFormatting>
  <conditionalFormatting sqref="DT2:DT570">
    <cfRule type="duplicateValues" dxfId="349" priority="1"/>
  </conditionalFormatting>
  <conditionalFormatting sqref="DT45:DT87">
    <cfRule type="duplicateValues" dxfId="348" priority="4"/>
  </conditionalFormatting>
  <conditionalFormatting sqref="DT88:DT130">
    <cfRule type="duplicateValues" dxfId="347" priority="5"/>
  </conditionalFormatting>
  <conditionalFormatting sqref="DT131:DT173">
    <cfRule type="duplicateValues" dxfId="346" priority="7"/>
  </conditionalFormatting>
  <conditionalFormatting sqref="DT174:DT217">
    <cfRule type="duplicateValues" dxfId="345" priority="8"/>
  </conditionalFormatting>
  <conditionalFormatting sqref="DT257:DT287">
    <cfRule type="duplicateValues" dxfId="344" priority="13"/>
  </conditionalFormatting>
  <conditionalFormatting sqref="DU257:DU286">
    <cfRule type="duplicateValues" dxfId="343" priority="12"/>
  </conditionalFormatting>
  <conditionalFormatting sqref="DU287">
    <cfRule type="duplicateValues" dxfId="342" priority="11"/>
  </conditionalFormatting>
  <conditionalFormatting sqref="DW346:DW347">
    <cfRule type="expression" dxfId="341" priority="9" stopIfTrue="1">
      <formula>AND(COUNTIF($A$38:$A$42, DW346)+COUNTIF($A$3:$A$13, DW346)+COUNTIF($A$15:$A$29, DW346)+COUNTIF($A$32:$A$34, DW346)+COUNTIF($A$44:$A$48, DW346)+COUNTIF($A$50:$A$55, DW346)+COUNTIF($A$57:$A$99, DW346)&gt;1,NOT(ISBLANK(DW346)))</formula>
    </cfRule>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2" id="{5C1585B6-E9C8-48CC-8D4F-05DB6145E943}">
            <xm:f>OR(Ram_4!$AU$10=1,Ram_4!$AU$10=3)</xm:f>
            <x14:dxf>
              <fill>
                <patternFill patternType="darkDown"/>
              </fill>
            </x14:dxf>
          </x14:cfRule>
          <xm:sqref>CH13</xm:sqref>
        </x14:conditionalFormatting>
        <x14:conditionalFormatting xmlns:xm="http://schemas.microsoft.com/office/excel/2006/main">
          <x14:cfRule type="expression" priority="3" id="{B82809AE-A287-4E67-A508-84D5D818B919}">
            <xm:f>OR(Ram_4!$AU$10=2,Ram_4!$AU$10=3)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65536"/>
  <sheetViews>
    <sheetView showGridLines="0" showRowColHeaders="0" zoomScaleNormal="100" workbookViewId="0">
      <selection activeCell="H8" sqref="H8:Q8"/>
    </sheetView>
  </sheetViews>
  <sheetFormatPr defaultColWidth="0" defaultRowHeight="15"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71093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4.42578125" style="423" customWidth="1"/>
    <col min="45" max="45" width="14.42578125" style="423" customWidth="1"/>
    <col min="46" max="46" width="14.140625" style="423" hidden="1" customWidth="1"/>
    <col min="47" max="48" width="14.140625" style="450" hidden="1" customWidth="1"/>
    <col min="49" max="55" width="14.140625" style="423" hidden="1" customWidth="1"/>
    <col min="5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"&amp;5</f>
        <v>Rámeček  5</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IFERROR(IF(OR(VLOOKUP(H8,kombinace_5!$A:$E,5,0)=1,H8=kombinace_5!A27,H8=kombinace_5!A28),'Translate&amp;Prices&amp;Logo'!B635,""),"")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IFERROR(IF(kombinace_5!FC2=TRUE,'Translate&amp;Prices&amp;Logo'!B654,IF(VLOOKUP(H8,kombinace_5!$A:$E,5,0)=3,'Translate&amp;Prices&amp;Logo'!B642,"")),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IF(kombinace_5!FC2=TRUE,AB4,AU2)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VLOOKUP(H8,kombinace_5!$A:$B,2,0)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IF(AU10&gt;0,'Translate&amp;Prices&amp;Logo'!B303,IF(H8=kombinace_5!A58,'Translate&amp;Prices&amp;Logo'!B578,IF(H8=kombinace_5!A60,'Translate&amp;Prices&amp;Logo'!B579,IF(H8=kombinace_5!A62,'Translate&amp;Prices&amp;Logo'!B580,0))))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IFERROR(IF(AND(VLOOKUP(H8,kombinace_5!$A:$D,4,0)=1,kombinace_5!FC2=FALSE),'Translate&amp;Prices&amp;Logo'!$B$543,0),0)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VLOOKUP(H12,kombinace_5!$DP:$DQ,2,0)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IFERROR(VLOOKUP(H9,kombinace_5!$BY$13:$BZ$15,2,0),0)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IFERROR(IF(kombinace_5!$H$1=TRUE,BA2+AY3,0),0)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IF(AU9=2,INDIRECT(CONCATENATE("_",AV7,"_",H13,"_",AA29)),IF(AU9=3,INDIRECT(VLOOKUP(H13,kombinace_5!$AA:$AB,2,0))))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IF(H15=kombinace_5!AB40,'Translate&amp;Prices&amp;Logo'!$B$224,IF(H15=kombinace_5!AB41,'Translate&amp;Prices&amp;Logo'!$B$224,IF(H12=kombinace_5!BQ2,'Translate&amp;Prices&amp;Logo'!$B$222,'Translate&amp;Prices&amp;Logo'!$B$218)))</f>
        <v>Výběr pozice rámečku</v>
      </c>
      <c r="C16" s="654"/>
      <c r="D16" s="654"/>
      <c r="E16" s="654"/>
      <c r="F16" s="652"/>
      <c r="G16" s="652"/>
      <c r="H16" s="652"/>
      <c r="I16" s="652"/>
      <c r="J16" s="685" t="str">
        <f>IF(OR(H15=kombinace_5!AB40,H15=kombinace_5!AB7,H15=kombinace_5!AB15,H15=kombinace_5!AB21,H15=kombinace_5!AB22,H15=kombinace_5!AB23),'Translate&amp;Prices&amp;Logo'!$B$226,IF(H15=kombinace_5!AB41,'Translate&amp;Prices&amp;Logo'!$B$226,'Translate&amp;Prices&amp;Logo'!$B$232))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IF(H12='Translate&amp;Prices&amp;Logo'!B551,'Translate&amp;Prices&amp;Logo'!B238,IF(H15=kombinace_5!AB8,'Translate&amp;Prices&amp;Logo'!B284,0))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VLOOKUP(H17,kombinace_5!$BY:$BZ,2,0)</f>
        <v>#N/A</v>
      </c>
      <c r="AV17" s="452"/>
    </row>
    <row r="18" spans="1:52" ht="18" customHeight="1">
      <c r="A18" s="371"/>
      <c r="B18" s="632">
        <f>IFERROR(IF(VLOOKUP(H15,kombinace_5!CD:CE,2,0)=1,'Translate&amp;Prices&amp;Logo'!$B$547,0),0)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IFERROR(IF(H12='Translate&amp;Prices&amp;Logo'!B551,'Translate&amp;Prices&amp;Logo'!$B$223,IF(VLOOKUP(H15,kombinace_5!CD:CE,2,0)=1,'Translate&amp;Prices&amp;Logo'!$B$223,)),0)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IFERROR(IF(H12=kombinace_5!BR2,VLOOKUP(H15,kombinace_5!$CD:$CF,3,0),IF(H12=kombinace_5!BQ2,1,0)),0)</f>
        <v>0</v>
      </c>
      <c r="AV19" s="452">
        <f>IFERROR(VLOOKUP(H15,kombinace_5!$CD:$CF,3,0),0)</f>
        <v>0</v>
      </c>
    </row>
    <row r="20" spans="1:52" ht="18" customHeight="1">
      <c r="A20" s="371"/>
      <c r="B20" s="657">
        <f>IFERROR('Translate&amp;Prices&amp;Logo'!$B$242&amp;" "&amp;(VLOOKUP(H17,kombinace_5!$BY$32:$CA$35,2,0)),0)</f>
        <v>0</v>
      </c>
      <c r="C20" s="658"/>
      <c r="D20" s="658"/>
      <c r="E20" s="658"/>
      <c r="F20" s="651">
        <v>100</v>
      </c>
      <c r="G20" s="651"/>
      <c r="H20" s="651"/>
      <c r="I20" s="651"/>
      <c r="J20" s="658">
        <f>IFERROR('Translate&amp;Prices&amp;Logo'!$B$242&amp;" "&amp;(VLOOKUP(H17,kombinace_5!$BY$32:$CA$35,3,0)),0)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IF(kombinace_5!FC2=FALSE,'Translate&amp;Prices&amp;Logo'!$B$173,"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VLOOKUP(H17,kombinace_5!$BY:$BZ,2,0)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VLOOKUP(H27,kombinace_5!$BY:$BZ,2,0)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VLOOKUP(H14,kombinace_5!$DN$7:$DO$21,2,0)</f>
        <v>#N/A</v>
      </c>
      <c r="AB29" s="665">
        <f>IFERROR(IF(AND($AU$17&lt;=2,H12=kombinace_5!BQ2),'Translate&amp;Prices&amp;Logo'!$B$577,0),0)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VLOOKUP('Translate&amp;Prices&amp;Logo'!D1,kombinace_5!$EV$1:$EW$5,2,0)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20.2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IF(kombinace_5!V1=2,((AR14/1000)*(AI30/1000))*'Translate&amp;Prices&amp;Logo'!C94,0)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IF(kombinace_5!$V$1=3,IFERROR(((VLOOKUP(H24,'Translate&amp;Prices&amp;Logo'!B91:C93,2,0))*(AR14/1000)),0),0)</f>
        <v>0</v>
      </c>
    </row>
    <row r="36" spans="1:49" s="469" customFormat="1" ht="18.600000000000001" hidden="1" customHeight="1">
      <c r="A36" s="461"/>
      <c r="B36" s="469" t="str">
        <f t="array" ref="B36:B114">IF(kombinace_5!FC2=TRUE,_profily_síťka,IF(kombinace_5!H1=TRUE,_kombinovane_profily,_vše_profily))</f>
        <v>BRW (elox.)</v>
      </c>
      <c r="H36" s="469" t="str">
        <f t="array" ref="H36:H39">kombinace_5!$BY$13:$BY$15</f>
        <v>Horizontálně</v>
      </c>
      <c r="L36" s="469" t="str">
        <f t="array" ref="L36:M36">IF(kombinace_5!H1=TRUE,kombinace_5!$BQ$2:$BR$2,IF(H8=kombinace_5!A35,kombinace_5!$BQ$2,IF(H8=kombinace_5!A36,kombinace_5!$BQ$2,IF(H8=kombinace_5!A37,kombinace_5!$BQ$2,IF(H8=kombinace_5!A64,kombinace_5!$BQ$2,IF(H8=kombinace_5!A65,kombinace_5!$BQ$2,IF(H8=kombinace_5!A66,kombinace_5!$BQ$2,IF(H8=kombinace_5!A67,kombinace_5!$BQ$2,kombinace_5!$BQ$2:$BR$2))))))))</f>
        <v>Závěsy</v>
      </c>
      <c r="M36" s="469" t="str">
        <v>Závěsy</v>
      </c>
      <c r="P36" s="469" t="str">
        <f t="array" ref="P36:P38">IF(H13=kombinace_5!BQ11,kombinace_5!$DN$2,kombinace_5!$DN$2:$DN$4)</f>
        <v>Naložený</v>
      </c>
      <c r="T36" s="469" t="e">
        <f t="array" aca="1" ref="T36:T45" ca="1">IF(H13=kombinace_5!BQ11,kombinace_5!$FA$2:$FA$9,IF(AND(OR(H8=kombinace_5!A35,H8=kombinace_5!A37),H13=kombinace_5!BQ4),INDIRECT(VLOOKUP(CONCATENATE("_",$AV$7,"_",$H$13,"_",$AA$29,"_Rocca"),kombinace_5!$ER:$ES,2,0)),IF($AU$9=2,INDIRECT(VLOOKUP(CONCATENATE("_",$AV$7,"_",$H$13,"_",$AA$29),kombinace_5!$ER:$ES,2,0)),IF($AU$9=3,INDIRECT(VLOOKUP($T$47,kombinace_5!$AA:$AB,2,0)),$Y$48))))</f>
        <v>#N/A</v>
      </c>
      <c r="Y36" s="469" t="str">
        <f t="array" ref="Y36:Y39">IF(kombinace_5!$H$1=TRUE,_znacka_zavesy,IF($H$12=kombinace_5!$BQ$2,_znacka_zavesy,_znacka_vyklopy))</f>
        <v>Blum</v>
      </c>
      <c r="AF36" s="469" t="e">
        <f t="array" aca="1" ref="AF36" ca="1">INDIRECT(CONCATENATE("_",AV7,"_",H15))</f>
        <v>#N/A</v>
      </c>
      <c r="AJ36" s="469">
        <f t="array" ref="AJ36:AJ40">IF(AM19&lt;2100,kombinace_5!BY8:BY12,kombinace_5!BY8:BY12)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IF($H$12=kombinace_5!$BQ$2,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IF(kombinace_5!H1=TRUE,kombinace_5!$BQ$2:$BR$2,IF(H8=kombinace_5!A35,kombinace_5!$BQ$2,IF(H8=kombinace_5!A36,kombinace_5!$BQ$2,IF(H8=kombinace_5!A37,kombinace_5!$BQ$2,kombinace_5!$BQ$2:$BR$2))))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CONCATENATE(H13,"_",VLOOKUP(kombinace_5!H1,kombinace_5!$J$14:$K$15,2,0))</f>
        <v>_2</v>
      </c>
    </row>
    <row r="48" spans="1:49" s="469" customFormat="1" ht="14.85" hidden="1" customHeight="1">
      <c r="A48" s="452"/>
      <c r="B48" s="469" t="str">
        <v>Corleone (elox.)</v>
      </c>
      <c r="T48" s="469" t="e">
        <f>VLOOKUP(CONCATENATE("_",AV7,"_",H13,"_",AA29),kombinace_5!ER:ES,2,0)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IF($H$15=kombinace_5!$AB$40,_strong_vzpera_horni,IF($H$15=kombinace_5!$AB$41,_stronglift_klopna,IF($H$12=kombinace_5!$BQ$2,$J$65:$J$71,'Translate&amp;Prices&amp;Logo'!$B$185:$B$186)))</f>
        <v>Horní dvířko</v>
      </c>
      <c r="K54" s="469" t="str">
        <f t="array" ref="K54:K58">IF(OR($H$15=kombinace_5!AB40,$H$15=kombinace_5!AB7,$H$15=kombinace_5!AB15,$H$15=kombinace_5!AB21,$H$15=kombinace_5!AB22,$H$15=kombinace_5!AB23),'Translate&amp;Prices&amp;Logo'!$B$229:$B$231,IF($H$15=kombinace_5!AB41,'Translate&amp;Prices&amp;Logo'!$B$229:$B$231,'Translate&amp;Prices&amp;Logo'!$B$233:$B$237))</f>
        <v>Úzký ALU rámeček</v>
      </c>
      <c r="P54" s="469" t="str">
        <f t="array" ref="P54:P57">IF(OR(H8=kombinace_5!F14,H8=kombinace_5!F15,H8=kombinace_5!F16,H8=kombinace_5!F17,H8=kombinace_5!F18,H8=kombinace_5!F19),_zavesy_kombo,IF(H15=kombinace_5!AB8,_ramena_HL,_umisteni_zavesu))</f>
        <v>Vlevo</v>
      </c>
      <c r="T54" s="469" t="str">
        <f t="array" ref="T54:T56">kombinace_5!$EN$3:$EN$5</f>
        <v>Bez úprav</v>
      </c>
      <c r="U54" s="469">
        <v>1</v>
      </c>
      <c r="X54" s="469" t="str">
        <f t="array" ref="X54:X56">kombinace_5!$X$3:$X$5</f>
        <v>Transparentní</v>
      </c>
      <c r="AD54" s="469" t="str">
        <f t="array" aca="1" ref="AD54:AD116" ca="1">IF(kombinace_5!FC2=TRUE,IF(OR(H8=kombinace_5!A13,H8=kombinace_5!A55),síťka_pro_zlatýprofil,IF(OR(H8=kombinace_5!A7,H8=kombinace_5!A51),síťka_pro_černýprofil,IF(OR(H8=kombinace_5!A4,H8=kombinace_5!A5,H8=kombinace_5!A53,H8=kombinace_5!A54),síťka_pro_bílýprofil,IF(OR(H8=kombinace_5!A3,H8=kombinace_5!A50),síťka_pro_eloxprofil)))),IF(OR(H8=kombinace_5!A15,H8=kombinace_5!A16,H8=kombinace_5!A18,H8=kombinace_5!A27,H8=kombinace_5!A28,H8=kombinace_5!A25,H8=kombinace_5!A26),_corleone,IF(H8="",_N1,INDIRECT(kombinace_5!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65536" ht="29.25" hidden="1" customHeight="1"/>
  </sheetData>
  <sheetProtection algorithmName="SHA-512" hashValue="q757JR2uyCbmI8Avitnb4jT8Wa5v822Ap4yq7PXnyg5PDqjTpZ78buZngo/V0ejKdfbqfqX16phVfVYFG/Q1fw==" saltValue="Q2acrXVsGk0z4IG1LgLXRQ==" spinCount="100000" sheet="1" objects="1" scenarios="1" selectLockedCells="1"/>
  <protectedRanges>
    <protectedRange sqref="G7 I7:R7" name="Oblast1_1"/>
  </protectedRanges>
  <mergeCells count="94">
    <mergeCell ref="G7:Q7"/>
    <mergeCell ref="B32:Q32"/>
    <mergeCell ref="B28:F28"/>
    <mergeCell ref="H28:Q28"/>
    <mergeCell ref="H29:I29"/>
    <mergeCell ref="J29:Q29"/>
    <mergeCell ref="B30:J31"/>
    <mergeCell ref="K30:K31"/>
    <mergeCell ref="L30:O31"/>
    <mergeCell ref="P30:Q31"/>
    <mergeCell ref="H23:Q23"/>
    <mergeCell ref="B11:F11"/>
    <mergeCell ref="H11:L11"/>
    <mergeCell ref="M11:Q11"/>
    <mergeCell ref="B12:F12"/>
    <mergeCell ref="H12:Q12"/>
    <mergeCell ref="H21:Q21"/>
    <mergeCell ref="S25:Y31"/>
    <mergeCell ref="AF30:AH30"/>
    <mergeCell ref="AB29:AO29"/>
    <mergeCell ref="AM23:AM25"/>
    <mergeCell ref="AL19:AL25"/>
    <mergeCell ref="AC25:AD25"/>
    <mergeCell ref="AJ26:AJ27"/>
    <mergeCell ref="AF25:AK25"/>
    <mergeCell ref="B19:F19"/>
    <mergeCell ref="AR19:AR23"/>
    <mergeCell ref="AI30:AK30"/>
    <mergeCell ref="AO31:AR32"/>
    <mergeCell ref="B24:F24"/>
    <mergeCell ref="H24:Q24"/>
    <mergeCell ref="AC24:AG24"/>
    <mergeCell ref="B25:F25"/>
    <mergeCell ref="H25:Q25"/>
    <mergeCell ref="S24:U24"/>
    <mergeCell ref="B26:F26"/>
    <mergeCell ref="H26:Q26"/>
    <mergeCell ref="B27:F27"/>
    <mergeCell ref="H27:Q27"/>
    <mergeCell ref="H19:Q19"/>
    <mergeCell ref="N20:Q20"/>
    <mergeCell ref="H18:Q18"/>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S13:Y17"/>
    <mergeCell ref="B14:F14"/>
    <mergeCell ref="H13:Q13"/>
    <mergeCell ref="H14:Q14"/>
    <mergeCell ref="B13:F13"/>
    <mergeCell ref="AQ7:AQ27"/>
    <mergeCell ref="A2:AJ3"/>
    <mergeCell ref="AP2:AS3"/>
    <mergeCell ref="BD3:BH3"/>
    <mergeCell ref="BI3:BM3"/>
    <mergeCell ref="B5:D5"/>
    <mergeCell ref="F5:H5"/>
    <mergeCell ref="J5:L5"/>
    <mergeCell ref="N5:P5"/>
    <mergeCell ref="R5:T5"/>
    <mergeCell ref="AB4:AN5"/>
    <mergeCell ref="M10:Q10"/>
    <mergeCell ref="AC8:AG8"/>
    <mergeCell ref="S10:Y12"/>
    <mergeCell ref="S18:Y23"/>
    <mergeCell ref="H10:L10"/>
    <mergeCell ref="B33:Y33"/>
    <mergeCell ref="V5:X5"/>
    <mergeCell ref="B7:F7"/>
    <mergeCell ref="S7:U7"/>
    <mergeCell ref="AJ7:AJ8"/>
    <mergeCell ref="H8:Q8"/>
    <mergeCell ref="B9:F9"/>
    <mergeCell ref="H9:Q9"/>
    <mergeCell ref="AC9:AD9"/>
    <mergeCell ref="N16:Q16"/>
    <mergeCell ref="S8:Y9"/>
    <mergeCell ref="AF9:AK9"/>
    <mergeCell ref="AD10:AD12"/>
    <mergeCell ref="AE10:AE16"/>
    <mergeCell ref="AD14:AD21"/>
    <mergeCell ref="AB19:AC19"/>
  </mergeCells>
  <conditionalFormatting sqref="A1:AS1 A4:AB4 AO4:AS5 A5 E5 I5 M5 Q5 U5 Y5:AA5 A6:Z6 AR6:AS13 V7:Z7 A7:A32 R8:R31 Z8:Z31 AS14:AS32 AR24:AR30 B29:G29 AA29 AP29:AQ29 AA30:AE30 AL30:AQ30 AA31:AN31 R32:AN32 A33:B33 Z33:AE33 AG33:IV33">
    <cfRule type="expression" dxfId="340" priority="23">
      <formula>$AS$33=1</formula>
    </cfRule>
  </conditionalFormatting>
  <conditionalFormatting sqref="B5 F5 J5 N5 R5 V5">
    <cfRule type="cellIs" dxfId="339" priority="29" operator="equal">
      <formula>$A$2</formula>
    </cfRule>
  </conditionalFormatting>
  <conditionalFormatting sqref="B10:G10">
    <cfRule type="expression" dxfId="338" priority="22">
      <formula>$AS$33=1</formula>
    </cfRule>
  </conditionalFormatting>
  <conditionalFormatting sqref="B16:I16">
    <cfRule type="expression" dxfId="337" priority="52">
      <formula>$AU$19=0</formula>
    </cfRule>
  </conditionalFormatting>
  <conditionalFormatting sqref="B9:Q9">
    <cfRule type="expression" dxfId="336" priority="37">
      <formula>$B$9=0</formula>
    </cfRule>
  </conditionalFormatting>
  <conditionalFormatting sqref="B11:Q11">
    <cfRule type="expression" dxfId="335" priority="51">
      <formula>$AU$10=0</formula>
    </cfRule>
  </conditionalFormatting>
  <conditionalFormatting sqref="B14:Q14">
    <cfRule type="expression" dxfId="334" priority="36">
      <formula>$B$14=0</formula>
    </cfRule>
  </conditionalFormatting>
  <conditionalFormatting sqref="B17:Q17">
    <cfRule type="expression" dxfId="333" priority="35">
      <formula>$B$17=0</formula>
    </cfRule>
  </conditionalFormatting>
  <conditionalFormatting sqref="B18:Q18">
    <cfRule type="expression" dxfId="332" priority="11" stopIfTrue="1">
      <formula>$B$18=0</formula>
    </cfRule>
    <cfRule type="expression" dxfId="331" priority="14">
      <formula>$F$16=$H$61</formula>
    </cfRule>
  </conditionalFormatting>
  <conditionalFormatting sqref="B19:Q19">
    <cfRule type="expression" dxfId="330" priority="34">
      <formula>$B$19=0</formula>
    </cfRule>
  </conditionalFormatting>
  <conditionalFormatting sqref="B20:Q20">
    <cfRule type="expression" dxfId="329" priority="31">
      <formula>$B$19=0</formula>
    </cfRule>
    <cfRule type="expression" dxfId="328" priority="30">
      <formula>$B$20=0</formula>
    </cfRule>
  </conditionalFormatting>
  <conditionalFormatting sqref="B21:Q21">
    <cfRule type="expression" dxfId="327" priority="3">
      <formula>$B$21=" "</formula>
    </cfRule>
  </conditionalFormatting>
  <conditionalFormatting sqref="B24:Q24">
    <cfRule type="expression" dxfId="326" priority="17" stopIfTrue="1">
      <formula>$T$59&lt;3</formula>
    </cfRule>
  </conditionalFormatting>
  <conditionalFormatting sqref="H23">
    <cfRule type="expression" dxfId="325" priority="38">
      <formula>$H$25&gt;0</formula>
    </cfRule>
  </conditionalFormatting>
  <conditionalFormatting sqref="H10:L11">
    <cfRule type="expression" dxfId="324" priority="27">
      <formula>$AU$10=2</formula>
    </cfRule>
  </conditionalFormatting>
  <conditionalFormatting sqref="H10:Q10">
    <cfRule type="expression" dxfId="323" priority="26">
      <formula>$AU$10=0</formula>
    </cfRule>
  </conditionalFormatting>
  <conditionalFormatting sqref="H22:Q22 B22:G23">
    <cfRule type="expression" dxfId="322" priority="21">
      <formula>$AS$33=1</formula>
    </cfRule>
  </conditionalFormatting>
  <conditionalFormatting sqref="J16:M16">
    <cfRule type="expression" dxfId="321" priority="13" stopIfTrue="1">
      <formula>$K$60=TRUE</formula>
    </cfRule>
  </conditionalFormatting>
  <conditionalFormatting sqref="J16:N16">
    <cfRule type="expression" dxfId="320" priority="15" stopIfTrue="1">
      <formula>$AV$19=0</formula>
    </cfRule>
  </conditionalFormatting>
  <conditionalFormatting sqref="M10:Q11">
    <cfRule type="expression" dxfId="319" priority="25">
      <formula>$AU$10=1</formula>
    </cfRule>
  </conditionalFormatting>
  <conditionalFormatting sqref="N16:Q16">
    <cfRule type="expression" dxfId="318" priority="12" stopIfTrue="1">
      <formula>$K$60=TRUE</formula>
    </cfRule>
  </conditionalFormatting>
  <conditionalFormatting sqref="S7:S8">
    <cfRule type="cellIs" dxfId="317" priority="33" operator="equal">
      <formula>0</formula>
    </cfRule>
  </conditionalFormatting>
  <conditionalFormatting sqref="S24">
    <cfRule type="cellIs" dxfId="316" priority="32" operator="equal">
      <formula>0</formula>
    </cfRule>
  </conditionalFormatting>
  <conditionalFormatting sqref="S8:Y23 AQ7:AQ27 S25:Y31 AB29:AO29">
    <cfRule type="expression" dxfId="315" priority="19">
      <formula>$AS$33=1</formula>
    </cfRule>
  </conditionalFormatting>
  <conditionalFormatting sqref="S8:Y23">
    <cfRule type="cellIs" dxfId="314" priority="28" operator="equal">
      <formula>0</formula>
    </cfRule>
  </conditionalFormatting>
  <conditionalFormatting sqref="S18:Y23">
    <cfRule type="expression" dxfId="313" priority="16" stopIfTrue="1">
      <formula>$S$18=FALSE</formula>
    </cfRule>
  </conditionalFormatting>
  <conditionalFormatting sqref="V24:Y24">
    <cfRule type="expression" dxfId="312" priority="20">
      <formula>$AS$33=1</formula>
    </cfRule>
  </conditionalFormatting>
  <conditionalFormatting sqref="AA9:AA10 AA24:AA25">
    <cfRule type="expression" dxfId="311" priority="7" stopIfTrue="1">
      <formula>$AU$17=1</formula>
    </cfRule>
  </conditionalFormatting>
  <conditionalFormatting sqref="AA16:AA17">
    <cfRule type="expression" dxfId="310" priority="2" stopIfTrue="1">
      <formula>$AU$24="1_3"</formula>
    </cfRule>
  </conditionalFormatting>
  <conditionalFormatting sqref="AC6:AD6 AM6:AN6">
    <cfRule type="expression" dxfId="309" priority="9" stopIfTrue="1">
      <formula>$AU$17=3</formula>
    </cfRule>
  </conditionalFormatting>
  <conditionalFormatting sqref="AC25:AD25 AJ26:AJ27">
    <cfRule type="expression" dxfId="308" priority="46">
      <formula>$AU$25=4</formula>
    </cfRule>
  </conditionalFormatting>
  <conditionalFormatting sqref="AC28:AD28 AM28:AN28">
    <cfRule type="expression" dxfId="307" priority="8" stopIfTrue="1">
      <formula>$AU$17=4</formula>
    </cfRule>
  </conditionalFormatting>
  <conditionalFormatting sqref="AC8:AG8">
    <cfRule type="expression" dxfId="306" priority="50">
      <formula>$AU$25=3</formula>
    </cfRule>
  </conditionalFormatting>
  <conditionalFormatting sqref="AC24:AG24">
    <cfRule type="expression" dxfId="305" priority="47">
      <formula>$AU$25=4</formula>
    </cfRule>
  </conditionalFormatting>
  <conditionalFormatting sqref="AD10:AD12 AB19:AC19">
    <cfRule type="expression" dxfId="304" priority="40">
      <formula>$AU$25=1</formula>
    </cfRule>
  </conditionalFormatting>
  <conditionalFormatting sqref="AD14:AD21">
    <cfRule type="expression" dxfId="303" priority="39">
      <formula>$AU$25=1</formula>
    </cfRule>
  </conditionalFormatting>
  <conditionalFormatting sqref="AE10:AE16">
    <cfRule type="expression" dxfId="302" priority="48">
      <formula>$AU$25=1</formula>
    </cfRule>
  </conditionalFormatting>
  <conditionalFormatting sqref="AF9:AK9">
    <cfRule type="expression" dxfId="301" priority="43">
      <formula>$AU$25=3</formula>
    </cfRule>
  </conditionalFormatting>
  <conditionalFormatting sqref="AF25:AK25">
    <cfRule type="expression" dxfId="300" priority="45">
      <formula>$AU$25=4</formula>
    </cfRule>
  </conditionalFormatting>
  <conditionalFormatting sqref="AG6:AH6">
    <cfRule type="expression" dxfId="299" priority="5" stopIfTrue="1">
      <formula>$AU$24="3_3"</formula>
    </cfRule>
  </conditionalFormatting>
  <conditionalFormatting sqref="AG28:AH28">
    <cfRule type="expression" dxfId="298" priority="4" stopIfTrue="1">
      <formula>$AU$24="4_3"</formula>
    </cfRule>
  </conditionalFormatting>
  <conditionalFormatting sqref="AI19">
    <cfRule type="expression" dxfId="297" priority="1" stopIfTrue="1">
      <formula>AV1048555=2</formula>
    </cfRule>
  </conditionalFormatting>
  <conditionalFormatting sqref="AJ7:AJ8 AC9:AD9">
    <cfRule type="expression" dxfId="296" priority="44">
      <formula>$AU$25=3</formula>
    </cfRule>
  </conditionalFormatting>
  <conditionalFormatting sqref="AL19:AL25">
    <cfRule type="expression" dxfId="295" priority="49">
      <formula>$AU$25=2</formula>
    </cfRule>
  </conditionalFormatting>
  <conditionalFormatting sqref="AM14:AM21">
    <cfRule type="expression" dxfId="294" priority="41">
      <formula>$AU$25=2</formula>
    </cfRule>
  </conditionalFormatting>
  <conditionalFormatting sqref="AN19:AO19 AM23:AM25">
    <cfRule type="expression" dxfId="293" priority="42">
      <formula>$AU$25=2</formula>
    </cfRule>
  </conditionalFormatting>
  <conditionalFormatting sqref="AP9:AP10 AP24:AP25">
    <cfRule type="expression" dxfId="292" priority="6" stopIfTrue="1">
      <formula>$AU$17=2</formula>
    </cfRule>
  </conditionalFormatting>
  <conditionalFormatting sqref="AP16:AP17">
    <cfRule type="expression" dxfId="291" priority="10" stopIfTrue="1">
      <formula>$AU$24="2_3"</formula>
    </cfRule>
  </conditionalFormatting>
  <conditionalFormatting sqref="AQ6 AQ28">
    <cfRule type="expression" dxfId="290" priority="18">
      <formula>$AS$33=1</formula>
    </cfRule>
  </conditionalFormatting>
  <conditionalFormatting sqref="AQ7:AQ27 AB29:AO29">
    <cfRule type="cellIs" dxfId="289" priority="24" operator="equal">
      <formula>0</formula>
    </cfRule>
  </conditionalFormatting>
  <dataValidations count="24">
    <dataValidation type="list" allowBlank="1" showInputMessage="1" showErrorMessage="1" sqref="H18:Q18" xr:uid="{C01806DA-0D34-409D-AE5E-29B7D0358622}">
      <formula1>INDIRECT(CONCATENATE("_",AV7,"_",H15))</formula1>
    </dataValidation>
    <dataValidation type="whole" allowBlank="1" showInputMessage="1" showErrorMessage="1" sqref="J11 L11" xr:uid="{8CDA76E8-2EFB-4F93-981E-E0484C4F0891}">
      <formula1>1</formula1>
      <formula2>(V16/100)-1</formula2>
    </dataValidation>
    <dataValidation type="whole" allowBlank="1" showInputMessage="1" showErrorMessage="1" sqref="H11:I11" xr:uid="{57A3D7A5-EDE9-4189-A216-25D9347C3DD6}">
      <formula1>1</formula1>
      <formula2>(AR14/100)-1</formula2>
    </dataValidation>
    <dataValidation type="whole" allowBlank="1" showInputMessage="1" showErrorMessage="1" sqref="M11:Q11" xr:uid="{3FFD536A-C3DB-412A-BEDD-E97FB97F9887}">
      <formula1>1</formula1>
      <formula2>(AI30/100)-1</formula2>
    </dataValidation>
    <dataValidation type="whole" allowBlank="1" showInputMessage="1" showErrorMessage="1" sqref="K11" xr:uid="{70B66330-2A3A-49E3-A561-27680848193F}">
      <formula1>1</formula1>
      <formula2>(#REF!/100)-1</formula2>
    </dataValidation>
    <dataValidation type="whole" allowBlank="1" showInputMessage="1" showErrorMessage="1" errorTitle="Minimum 80 mm" sqref="F20:I20 N20:Q20" xr:uid="{6F460028-08EA-4C12-9946-DB173A32A129}">
      <formula1>80</formula1>
      <formula2>1300</formula2>
    </dataValidation>
    <dataValidation type="list" allowBlank="1" showInputMessage="1" showErrorMessage="1" sqref="H27:Q27" xr:uid="{0BC5D129-9649-4F4D-892A-90943DA5F71B}">
      <formula1>_umisteni_zavesu</formula1>
    </dataValidation>
    <dataValidation type="whole" operator="greaterThanOrEqual" allowBlank="1" showInputMessage="1" showErrorMessage="1" sqref="H26:Q26" xr:uid="{332325B3-2E98-4C2F-903D-00B9C3C2C43E}">
      <formula1>1</formula1>
    </dataValidation>
    <dataValidation type="list" allowBlank="1" showInputMessage="1" showErrorMessage="1" sqref="H12:Q12" xr:uid="{D75C934A-95BF-433F-857D-2C4AAE197A49}">
      <formula1>$L$36:$M$36</formula1>
    </dataValidation>
    <dataValidation type="list" allowBlank="1" showInputMessage="1" showErrorMessage="1" sqref="H13:Q13" xr:uid="{7A65FC2F-6C41-41B1-BD1B-0D5DB7A09295}">
      <formula1>IF(M38="Salice",$L$38,$L$38:$L$42)</formula1>
    </dataValidation>
    <dataValidation type="list" allowBlank="1" showInputMessage="1" showErrorMessage="1" sqref="H14:Q14" xr:uid="{4B5F7445-FF76-419B-AA88-19C5408907BD}">
      <formula1>$P$36:$P$38</formula1>
    </dataValidation>
    <dataValidation type="list" allowBlank="1" showInputMessage="1" showErrorMessage="1" sqref="N16:Q16" xr:uid="{006C08FB-974B-42F6-8747-4A7F268D1862}">
      <formula1>$K$54:$K$58</formula1>
    </dataValidation>
    <dataValidation type="list" allowBlank="1" showInputMessage="1" showErrorMessage="1" sqref="H17:Q17" xr:uid="{DC4EEA74-B085-46B1-8700-C6D89DCEE865}">
      <formula1>$P$54:$P$57</formula1>
    </dataValidation>
    <dataValidation type="list" allowBlank="1" showInputMessage="1" showErrorMessage="1" sqref="H21:Q21" xr:uid="{75F3A066-1576-4C3A-837B-45D0005B30A3}">
      <formula1>$T$54:$T$56</formula1>
    </dataValidation>
    <dataValidation type="list" allowBlank="1" showInputMessage="1" showErrorMessage="1" sqref="H24:Q24" xr:uid="{AAB46CF8-A956-4165-92D9-2CAF5729C682}">
      <formula1>$X$54:$X$56</formula1>
    </dataValidation>
    <dataValidation type="list" allowBlank="1" showInputMessage="1" showErrorMessage="1" sqref="H29:I29" xr:uid="{DB6D93E6-3FD6-448F-BA07-808E31992817}">
      <formula1>$F$29:$G$29</formula1>
    </dataValidation>
    <dataValidation type="list" allowBlank="1" showInputMessage="1" showErrorMessage="1" sqref="H25:Q25" xr:uid="{0F2C69FC-6896-4F61-BE15-35773B667DB0}">
      <formula1>$AD$54:$AD$111</formula1>
    </dataValidation>
    <dataValidation type="list" allowBlank="1" showInputMessage="1" showErrorMessage="1" sqref="F16:I16" xr:uid="{12B784E4-DED4-4685-A171-772063736DDF}">
      <formula1>$H$54:$H$60</formula1>
    </dataValidation>
    <dataValidation type="list" allowBlank="1" showInputMessage="1" showErrorMessage="1" sqref="H19:Q19" xr:uid="{A6318A06-24B0-437B-8A2C-3206F4CD726C}">
      <formula1>IF(H13="Salice",$AJ$36,($AJ$36:$AJ$40))</formula1>
    </dataValidation>
    <dataValidation type="list" allowBlank="1" showInputMessage="1" showErrorMessage="1" sqref="H15:Q15" xr:uid="{8234C8F0-B078-43DA-A6FC-4C110D9D6820}">
      <formula1>$T$36:$T$45</formula1>
    </dataValidation>
    <dataValidation type="whole" operator="lessThan" showErrorMessage="1" errorTitle="MAX 1300 mm" error="MAXIMUM 1250 mm x 2550 mm" sqref="AI30:AK30" xr:uid="{115862C1-0025-4FA3-B872-9532973264F4}">
      <formula1>IF(AR14&gt;1252,1251,2551)</formula1>
    </dataValidation>
    <dataValidation type="whole" operator="lessThan" showErrorMessage="1" errorTitle="MAX 2500" error="MAXIMUM 1250 mm x 2550 mm" sqref="AR14:AR18" xr:uid="{10465773-D6FB-46B1-B7D3-33BBD020A219}">
      <formula1>IF(AI30&gt;=1251,1251,2551)</formula1>
    </dataValidation>
    <dataValidation type="list" allowBlank="1" showInputMessage="1" showErrorMessage="1" sqref="H8:Q8" xr:uid="{EACB8102-6ECE-4AAB-B462-92A7526D6256}">
      <formula1>_Roletka_profil_5</formula1>
    </dataValidation>
    <dataValidation type="list" allowBlank="1" showInputMessage="1" showErrorMessage="1" sqref="H9:Q9" xr:uid="{9C37F5EA-2F94-4A41-A65B-3D7E6716086B}">
      <formula1>_roletka_predely</formula1>
    </dataValidation>
  </dataValidations>
  <hyperlinks>
    <hyperlink ref="AP2:AS3" location="Hlavní!A1" display="Hlavní!A1" xr:uid="{09B84559-76A5-4289-B096-A10670928712}"/>
    <hyperlink ref="F5:H5" location="Ram_2!A1" display="Ram_2!A1" xr:uid="{C0FBA72E-2A75-47A4-A660-5B09B247A983}"/>
    <hyperlink ref="N5:P5" location="Ram_4!A1" display="Ram_4!A1" xr:uid="{BDD462A6-B667-481D-90B4-64A883CF7BEC}"/>
    <hyperlink ref="R5:T5" location="Ram_5!A1" display="Ram_5!A1" xr:uid="{06B043E7-DE36-4B6A-83CE-296EFF4342D1}"/>
    <hyperlink ref="V5:X5" location="Ram_6!A1" display="Ram_6!A1" xr:uid="{B1E11F54-D55E-4FBD-9A9B-0F586A99343B}"/>
    <hyperlink ref="B5:D5" location="Ram_1!A1" display="Ram_1!A1" xr:uid="{00CB6845-FA06-4F14-8E1D-F8785C739B28}"/>
    <hyperlink ref="AO31:AR32" location="_souhrn!A1" display="_souhrn!A1" xr:uid="{583D9D12-9852-43EB-86DD-B4203C58E612}"/>
    <hyperlink ref="J5:L5" location="Ram_3!A1" display="Ram_3!A1" xr:uid="{E277362C-56C8-4BE8-816D-1A83F6162E0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5" r:id="rId3"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333829"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1" r:id="rId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472" r:id="rId6" name="Check Box 1112">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7"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mc:AlternateContent xmlns:mc="http://schemas.openxmlformats.org/markup-compatibility/2006">
          <mc:Choice Requires="x14">
            <control shapeId="784584" r:id="rId8"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4585" r:id="rId9" name="Check Box 122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5091" r:id="rId10"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092" r:id="rId11" name="Check Box 1732">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5094" r:id="rId12"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095" r:id="rId13" name="Check Box 1735">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5388" r:id="rId1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389" r:id="rId15" name="Check Box 2029">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5390" r:id="rId16" name="Check Box 2030">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391" r:id="rId17" name="Check Box 2031">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5393" r:id="rId18" name="Check Box 2033">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394" r:id="rId19" name="Check Box 2034">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5395" r:id="rId20" name="Check Box 2035">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396" r:id="rId21" name="Check Box 2036">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5397" r:id="rId22" name="Check Box 203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399" r:id="rId23" name="Check Box 2039">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2556" r:id="rId2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H570"/>
  <sheetViews>
    <sheetView topLeftCell="R1" workbookViewId="0">
      <selection activeCell="R1" sqref="A1:XFD1048576"/>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VLOOKUP(Ram_5!H8,kombinace_5!$A:$C,3,0)</f>
        <v>#N/A</v>
      </c>
      <c r="S1" t="e">
        <f>CONCATENATE("_",R1,V1)</f>
        <v>#N/A</v>
      </c>
      <c r="U1" s="485" t="s">
        <v>2052</v>
      </c>
      <c r="V1" s="12">
        <f>IFERROR(VLOOKUP(Ram_5!H21,$EN$3:$EO$5,2,0),1)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CONCATENATE("_",Ram_5!H12,"_",Ram_5!H13)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IF(OR(Ram_5!$H$13&amp;Ram_5!$AU$7=Ram_5!$M$44,(Ram_5!$H$13&amp;Ram_5!$AU$7=Ram_5!$M$45)),'Translate&amp;Prices&amp;Logo'!B657,'Translate&amp;Prices&amp;Logo'!B554)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IF(OR(Ram_5!$H$13&amp;Ram_5!$AU$7=Ram_5!$M$44,(Ram_5!$H$13&amp;Ram_5!$AU$7=Ram_5!$M$45)),'Translate&amp;Prices&amp;Logo'!B657,'Translate&amp;Prices&amp;Logo'!B555)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IF(Ram_5!$H$9=kombinace_5!M10,1,0)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IF(Ram_5!$H$9=kombinace_5!M11,2,0)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IF(Ram_5!$H$9=kombinace_5!M12,3,0)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IF(Ram_5!AU7=2,"FREEspace","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conditionalFormatting sqref="A32:A34 A50:A55 A57:A61 A3:A13 A15:A29 A38:A42 A44:A48 A72:A99">
    <cfRule type="expression" dxfId="288" priority="44" stopIfTrue="1">
      <formula>AND(COUNTIF($A$38:$A$42, A3)+COUNTIF($A$3:$A$13, A3)+COUNTIF($A$15:$A$29, A3)+COUNTIF($A$32:$A$34, A3)+COUNTIF($A$44:$A$48, A3)+COUNTIF($A$50:$A$55, A3)+COUNTIF($A$57:$A$99, A3)&gt;1,NOT(ISBLANK(A3)))</formula>
    </cfRule>
  </conditionalFormatting>
  <conditionalFormatting sqref="A33 A55 A57:A61">
    <cfRule type="expression" dxfId="287" priority="40" stopIfTrue="1">
      <formula>AND(COUNTIF($A$55:$A$55, A33)+COUNTIF($A$57:$A$62, A33)+COUNTIF($A$33:$A$33, A33)&gt;1,NOT(ISBLANK(A33)))</formula>
    </cfRule>
  </conditionalFormatting>
  <conditionalFormatting sqref="F14:F19">
    <cfRule type="duplicateValues" dxfId="286" priority="16"/>
  </conditionalFormatting>
  <conditionalFormatting sqref="P2:P61 P63:P65536">
    <cfRule type="expression" dxfId="285" priority="38" stopIfTrue="1">
      <formula>AND(COUNTIF($P$63:$P$65536, P2)+COUNTIF($P$2:$P$61, P2)&gt;1,NOT(ISBLANK(P2)))</formula>
    </cfRule>
  </conditionalFormatting>
  <conditionalFormatting sqref="Q2 Q4 Q6:Q62 Q68:Q65536">
    <cfRule type="expression" dxfId="284" priority="45" stopIfTrue="1">
      <formula>AND(COUNTIF($Q$68:$Q$65536, Q2)+COUNTIF($Q$2:$Q$2, Q2)+COUNTIF($Q$4:$Q$4, Q2)+COUNTIF($Q$6:$Q$62, Q2)&gt;1,NOT(ISBLANK(Q2)))</formula>
    </cfRule>
  </conditionalFormatting>
  <conditionalFormatting sqref="R4:R6">
    <cfRule type="duplicateValues" dxfId="283" priority="28"/>
  </conditionalFormatting>
  <conditionalFormatting sqref="R7:R8">
    <cfRule type="duplicateValues" dxfId="282" priority="27"/>
  </conditionalFormatting>
  <conditionalFormatting sqref="R9">
    <cfRule type="duplicateValues" dxfId="281" priority="26"/>
  </conditionalFormatting>
  <conditionalFormatting sqref="R10:R33">
    <cfRule type="duplicateValues" dxfId="280" priority="34"/>
  </conditionalFormatting>
  <conditionalFormatting sqref="R34:R39">
    <cfRule type="duplicateValues" dxfId="279" priority="41"/>
  </conditionalFormatting>
  <conditionalFormatting sqref="R40:R42">
    <cfRule type="duplicateValues" dxfId="278" priority="25"/>
  </conditionalFormatting>
  <conditionalFormatting sqref="R49:R55">
    <cfRule type="duplicateValues" dxfId="277" priority="29"/>
  </conditionalFormatting>
  <conditionalFormatting sqref="R49:R61 R2 R63:R65536">
    <cfRule type="expression" dxfId="276" priority="37" stopIfTrue="1">
      <formula>AND(COUNTIF($R$2:$R$2, R2)+COUNTIF($R$63:$R$65536, R2)+COUNTIF($R$49:$R$61, R2)&gt;1,NOT(ISBLANK(R2)))</formula>
    </cfRule>
  </conditionalFormatting>
  <conditionalFormatting sqref="R56:R57">
    <cfRule type="duplicateValues" dxfId="275" priority="30"/>
  </conditionalFormatting>
  <conditionalFormatting sqref="R58:R61 R63">
    <cfRule type="expression" dxfId="274" priority="39" stopIfTrue="1">
      <formula>AND(COUNTIF($R$63:$R$63, R58)+COUNTIF($R$58:$R$61, R58)&gt;1,NOT(ISBLANK(R58)))</formula>
    </cfRule>
  </conditionalFormatting>
  <conditionalFormatting sqref="S4">
    <cfRule type="duplicateValues" dxfId="273" priority="24"/>
  </conditionalFormatting>
  <conditionalFormatting sqref="S6:S9">
    <cfRule type="duplicateValues" dxfId="272" priority="10"/>
  </conditionalFormatting>
  <conditionalFormatting sqref="S10:S15">
    <cfRule type="duplicateValues" dxfId="271" priority="23"/>
  </conditionalFormatting>
  <conditionalFormatting sqref="S16:S17">
    <cfRule type="duplicateValues" dxfId="270" priority="22"/>
  </conditionalFormatting>
  <conditionalFormatting sqref="S18:S23">
    <cfRule type="duplicateValues" dxfId="269" priority="33"/>
  </conditionalFormatting>
  <conditionalFormatting sqref="S24:S52">
    <cfRule type="duplicateValues" dxfId="268" priority="31"/>
  </conditionalFormatting>
  <conditionalFormatting sqref="T4">
    <cfRule type="duplicateValues" dxfId="267" priority="21"/>
  </conditionalFormatting>
  <conditionalFormatting sqref="U4:U6">
    <cfRule type="duplicateValues" dxfId="266" priority="20"/>
  </conditionalFormatting>
  <conditionalFormatting sqref="U7:U30">
    <cfRule type="duplicateValues" dxfId="265" priority="35"/>
  </conditionalFormatting>
  <conditionalFormatting sqref="U31:U37">
    <cfRule type="duplicateValues" dxfId="264" priority="42"/>
  </conditionalFormatting>
  <conditionalFormatting sqref="U38:U40">
    <cfRule type="duplicateValues" dxfId="263" priority="19"/>
  </conditionalFormatting>
  <conditionalFormatting sqref="V4:V6">
    <cfRule type="duplicateValues" dxfId="262" priority="18"/>
  </conditionalFormatting>
  <conditionalFormatting sqref="V7:V30">
    <cfRule type="duplicateValues" dxfId="261" priority="36"/>
  </conditionalFormatting>
  <conditionalFormatting sqref="V31:V37">
    <cfRule type="duplicateValues" dxfId="260" priority="43"/>
  </conditionalFormatting>
  <conditionalFormatting sqref="V38:V40">
    <cfRule type="duplicateValues" dxfId="259" priority="17"/>
  </conditionalFormatting>
  <conditionalFormatting sqref="AC4:AC13 AC15:AC23 AC29:AC34 AC40:AC41 AC43:AC45 AC50:AC53 AC60:AC63">
    <cfRule type="cellIs" dxfId="258" priority="32" operator="equal">
      <formula>1</formula>
    </cfRule>
  </conditionalFormatting>
  <conditionalFormatting sqref="BQ9:BQ10">
    <cfRule type="duplicateValues" dxfId="257" priority="14"/>
  </conditionalFormatting>
  <conditionalFormatting sqref="BQ2:BR2">
    <cfRule type="duplicateValues" dxfId="256" priority="15"/>
  </conditionalFormatting>
  <conditionalFormatting sqref="DT2:DT44">
    <cfRule type="duplicateValues" dxfId="253" priority="6"/>
  </conditionalFormatting>
  <conditionalFormatting sqref="DT2:DT570">
    <cfRule type="duplicateValues" dxfId="252" priority="1"/>
  </conditionalFormatting>
  <conditionalFormatting sqref="DT45:DT87">
    <cfRule type="duplicateValues" dxfId="251" priority="4"/>
  </conditionalFormatting>
  <conditionalFormatting sqref="DT88:DT130">
    <cfRule type="duplicateValues" dxfId="250" priority="5"/>
  </conditionalFormatting>
  <conditionalFormatting sqref="DT131:DT173">
    <cfRule type="duplicateValues" dxfId="249" priority="7"/>
  </conditionalFormatting>
  <conditionalFormatting sqref="DT174:DT217">
    <cfRule type="duplicateValues" dxfId="248" priority="8"/>
  </conditionalFormatting>
  <conditionalFormatting sqref="DT257:DT287">
    <cfRule type="duplicateValues" dxfId="247" priority="13"/>
  </conditionalFormatting>
  <conditionalFormatting sqref="DU257:DU286">
    <cfRule type="duplicateValues" dxfId="246" priority="12"/>
  </conditionalFormatting>
  <conditionalFormatting sqref="DU287">
    <cfRule type="duplicateValues" dxfId="245" priority="11"/>
  </conditionalFormatting>
  <conditionalFormatting sqref="DW346:DW347">
    <cfRule type="expression" dxfId="244" priority="9" stopIfTrue="1">
      <formula>AND(COUNTIF($A$38:$A$42, DW346)+COUNTIF($A$3:$A$13, DW346)+COUNTIF($A$15:$A$29, DW346)+COUNTIF($A$32:$A$34, DW346)+COUNTIF($A$44:$A$48, DW346)+COUNTIF($A$50:$A$55, DW346)+COUNTIF($A$57:$A$99, DW346)&gt;1,NOT(ISBLANK(DW346)))</formula>
    </cfRule>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2" id="{876161D6-B549-4243-B594-0977C5F9BF2F}">
            <xm:f>OR(Ram_5!$AU$10=1,Ram_5!$AU$10=3)</xm:f>
            <x14:dxf>
              <fill>
                <patternFill patternType="darkDown"/>
              </fill>
            </x14:dxf>
          </x14:cfRule>
          <xm:sqref>CH13</xm:sqref>
        </x14:conditionalFormatting>
        <x14:conditionalFormatting xmlns:xm="http://schemas.microsoft.com/office/excel/2006/main">
          <x14:cfRule type="expression" priority="3" id="{6FACD506-387B-454A-92B2-82A997DD2209}">
            <xm:f>OR(Ram_5!$AU$10=2,Ram_5!$AU$10=3)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65536"/>
  <sheetViews>
    <sheetView showGridLines="0" showRowColHeaders="0" zoomScaleNormal="100" workbookViewId="0">
      <selection activeCell="H8" sqref="H8:Q8"/>
    </sheetView>
  </sheetViews>
  <sheetFormatPr defaultColWidth="0" defaultRowHeight="15"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71093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4.42578125" style="423" customWidth="1"/>
    <col min="45" max="45" width="14.42578125" style="423" customWidth="1"/>
    <col min="46" max="46" width="14.140625" style="423" hidden="1" customWidth="1"/>
    <col min="47" max="48" width="14.140625" style="450" hidden="1" customWidth="1"/>
    <col min="49" max="55" width="14.140625" style="423" hidden="1" customWidth="1"/>
    <col min="5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"&amp;6</f>
        <v>Rámeček  6</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IFERROR(IF(OR(VLOOKUP(H8,kombinace_6!$A:$E,5,0)=1,H8=kombinace_6!A27,H8=kombinace_6!A28),'Translate&amp;Prices&amp;Logo'!B635,""),"")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IFERROR(IF(kombinace_6!FC2=TRUE,'Translate&amp;Prices&amp;Logo'!B654,IF(VLOOKUP(H8,kombinace_6!$A:$E,5,0)=3,'Translate&amp;Prices&amp;Logo'!B642,"")),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IF(kombinace_6!FC2=TRUE,AB4,AU2)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VLOOKUP(H8,kombinace_6!$A:$B,2,0)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IF(AU10&gt;0,'Translate&amp;Prices&amp;Logo'!B303,IF(H8=kombinace_6!A58,'Translate&amp;Prices&amp;Logo'!B578,IF(H8=kombinace_6!A60,'Translate&amp;Prices&amp;Logo'!B579,IF(H8=kombinace_6!A62,'Translate&amp;Prices&amp;Logo'!B580,0))))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IFERROR(IF(AND(VLOOKUP(H8,kombinace_6!$A:$D,4,0)=1,kombinace_6!FC2=FALSE),'Translate&amp;Prices&amp;Logo'!$B$543,0),0)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VLOOKUP(H12,kombinace_6!$DP:$DQ,2,0)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IFERROR(VLOOKUP(H9,kombinace_6!$BY$13:$BZ$15,2,0),0)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IFERROR(IF(kombinace_6!$H$1=TRUE,BA2+AY3,0),0)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IF(AU9=2,INDIRECT(CONCATENATE("_",AV7,"_",H13,"_",AA29)),IF(AU9=3,INDIRECT(VLOOKUP(H13,kombinace_6!$AA:$AB,2,0))))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IF(H15=kombinace_6!AB40,'Translate&amp;Prices&amp;Logo'!$B$224,IF(H15=kombinace_6!AB41,'Translate&amp;Prices&amp;Logo'!$B$224,IF(H12=kombinace_6!BQ2,'Translate&amp;Prices&amp;Logo'!$B$222,'Translate&amp;Prices&amp;Logo'!$B$218)))</f>
        <v>Výběr pozice rámečku</v>
      </c>
      <c r="C16" s="654"/>
      <c r="D16" s="654"/>
      <c r="E16" s="654"/>
      <c r="F16" s="652"/>
      <c r="G16" s="652"/>
      <c r="H16" s="652"/>
      <c r="I16" s="652"/>
      <c r="J16" s="685" t="str">
        <f>IF(OR(H15=kombinace_6!AB40,H15=kombinace_6!AB7,H15=kombinace_6!AB15,H15=kombinace_6!AB21,H15=kombinace_6!AB22,H15=kombinace_6!AB23),'Translate&amp;Prices&amp;Logo'!$B$226,IF(H15=kombinace_6!AB41,'Translate&amp;Prices&amp;Logo'!$B$226,'Translate&amp;Prices&amp;Logo'!$B$232))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IF(H12='Translate&amp;Prices&amp;Logo'!B551,'Translate&amp;Prices&amp;Logo'!B238,IF(H15=kombinace_6!AB8,'Translate&amp;Prices&amp;Logo'!B284,0))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VLOOKUP(H17,kombinace_6!$BY:$BZ,2,0)</f>
        <v>#N/A</v>
      </c>
      <c r="AV17" s="452"/>
    </row>
    <row r="18" spans="1:52" ht="18" customHeight="1">
      <c r="A18" s="371"/>
      <c r="B18" s="632">
        <f>IFERROR(IF(VLOOKUP(H15,kombinace_6!CD:CE,2,0)=1,'Translate&amp;Prices&amp;Logo'!$B$547,0),0)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IFERROR(IF(H12='Translate&amp;Prices&amp;Logo'!B551,'Translate&amp;Prices&amp;Logo'!$B$223,IF(VLOOKUP(H15,kombinace_6!CD:CE,2,0)=1,'Translate&amp;Prices&amp;Logo'!$B$223,)),0)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IFERROR(IF(H12=kombinace_6!BR2,VLOOKUP(H15,kombinace_6!$CD:$CF,3,0),IF(H12=kombinace_6!BQ2,1,0)),0)</f>
        <v>0</v>
      </c>
      <c r="AV19" s="452">
        <f>IFERROR(VLOOKUP(H15,kombinace_6!$CD:$CF,3,0),0)</f>
        <v>0</v>
      </c>
    </row>
    <row r="20" spans="1:52" ht="18" customHeight="1">
      <c r="A20" s="371"/>
      <c r="B20" s="657">
        <f>IFERROR('Translate&amp;Prices&amp;Logo'!$B$242&amp;" "&amp;(VLOOKUP(H17,kombinace_6!$BY$32:$CA$35,2,0)),0)</f>
        <v>0</v>
      </c>
      <c r="C20" s="658"/>
      <c r="D20" s="658"/>
      <c r="E20" s="658"/>
      <c r="F20" s="651">
        <v>100</v>
      </c>
      <c r="G20" s="651"/>
      <c r="H20" s="651"/>
      <c r="I20" s="651"/>
      <c r="J20" s="658">
        <f>IFERROR('Translate&amp;Prices&amp;Logo'!$B$242&amp;" "&amp;(VLOOKUP(H17,kombinace_6!$BY$32:$CA$35,3,0)),0)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IF(kombinace_6!FC2=FALSE,'Translate&amp;Prices&amp;Logo'!$B$173,"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VLOOKUP(H17,kombinace_6!$BY:$BZ,2,0)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VLOOKUP(H27,kombinace_6!$BY:$BZ,2,0)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VLOOKUP(H14,kombinace_6!$DN$7:$DO$21,2,0)</f>
        <v>#N/A</v>
      </c>
      <c r="AB29" s="665">
        <f>IFERROR(IF(AND($AU$17&lt;=2,H12=kombinace_6!BQ2),'Translate&amp;Prices&amp;Logo'!$B$577,0),0)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VLOOKUP('Translate&amp;Prices&amp;Logo'!D1,kombinace_6!$EV$1:$EW$5,2,0)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20.2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IF(kombinace_6!V1=2,((AR14/1000)*(AI30/1000))*'Translate&amp;Prices&amp;Logo'!C94,0)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IF(kombinace_6!$V$1=3,IFERROR(((VLOOKUP(H24,'Translate&amp;Prices&amp;Logo'!B91:C93,2,0))*(AR14/1000)),0),0)</f>
        <v>0</v>
      </c>
    </row>
    <row r="36" spans="1:49" s="469" customFormat="1" ht="18.600000000000001" hidden="1" customHeight="1">
      <c r="A36" s="461"/>
      <c r="B36" s="469" t="str">
        <f t="array" ref="B36:B114">IF(kombinace_6!FC2=TRUE,_profily_síťka,IF(kombinace_6!H1=TRUE,_kombinovane_profily,_vše_profily))</f>
        <v>BRW (elox.)</v>
      </c>
      <c r="H36" s="469" t="str">
        <f t="array" ref="H36:H39">kombinace_6!$BY$13:$BY$15</f>
        <v>Horizontálně</v>
      </c>
      <c r="L36" s="469" t="str">
        <f t="array" ref="L36:M36">IF(kombinace_6!H1=TRUE,kombinace_6!$BQ$2:$BR$2,IF(H8=kombinace_6!A35,kombinace_6!$BQ$2,IF(H8=kombinace_6!A36,kombinace_6!$BQ$2,IF(H8=kombinace_6!A37,kombinace_6!$BQ$2,IF(H8=kombinace_6!A64,kombinace_6!$BQ$2,IF(H8=kombinace_6!A65,kombinace_6!$BQ$2,IF(H8=kombinace_6!A66,kombinace_6!$BQ$2,IF(H8=kombinace_6!A67,kombinace_6!$BQ$2,kombinace_6!$BQ$2:$BR$2))))))))</f>
        <v>Závěsy</v>
      </c>
      <c r="M36" s="469" t="str">
        <v>Závěsy</v>
      </c>
      <c r="P36" s="469" t="str">
        <f t="array" ref="P36:P38">IF(H13=kombinace_6!BQ11,kombinace_6!$DN$2,kombinace_6!$DN$2:$DN$4)</f>
        <v>Naložený</v>
      </c>
      <c r="T36" s="469" t="e">
        <f t="array" aca="1" ref="T36:T45" ca="1">IF(H13=kombinace_6!BQ11,kombinace_6!$FA$2:$FA$9,IF(AND(OR(H8=kombinace_6!A35,H8=kombinace_6!A37),H13=kombinace_6!BQ4),INDIRECT(VLOOKUP(CONCATENATE("_",$AV$7,"_",$H$13,"_",$AA$29,"_Rocca"),kombinace_6!$ER:$ES,2,0)),IF($AU$9=2,INDIRECT(VLOOKUP(CONCATENATE("_",$AV$7,"_",$H$13,"_",$AA$29),kombinace_6!$ER:$ES,2,0)),IF($AU$9=3,INDIRECT(VLOOKUP($T$47,kombinace_6!$AA:$AB,2,0)),$Y$48))))</f>
        <v>#N/A</v>
      </c>
      <c r="Y36" s="469" t="str">
        <f t="array" ref="Y36:Y39">IF(kombinace_6!$H$1=TRUE,_znacka_zavesy,IF($H$12=kombinace_6!$BQ$2,_znacka_zavesy,_znacka_vyklopy))</f>
        <v>Blum</v>
      </c>
      <c r="AF36" s="469" t="e">
        <f t="array" aca="1" ref="AF36" ca="1">INDIRECT(CONCATENATE("_",AV7,"_",H15))</f>
        <v>#N/A</v>
      </c>
      <c r="AJ36" s="469">
        <f t="array" ref="AJ36:AJ40">IF(AM19&lt;2100,kombinace_6!BY8:BY12,kombinace_6!BY8:BY12)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IF($H$12=kombinace_6!$BQ$2,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IF(kombinace_6!H1=TRUE,kombinace_6!$BQ$2:$BR$2,IF(H8=kombinace_6!A35,kombinace_6!$BQ$2,IF(H8=kombinace_6!A36,kombinace_6!$BQ$2,IF(H8=kombinace_6!A37,kombinace_6!$BQ$2,kombinace_6!$BQ$2:$BR$2))))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CONCATENATE(H13,"_",VLOOKUP(kombinace_6!H1,kombinace_6!$J$14:$K$15,2,0))</f>
        <v>_2</v>
      </c>
    </row>
    <row r="48" spans="1:49" s="469" customFormat="1" ht="14.85" hidden="1" customHeight="1">
      <c r="A48" s="452"/>
      <c r="B48" s="469" t="str">
        <v>Corleone (elox.)</v>
      </c>
      <c r="T48" s="469" t="e">
        <f>VLOOKUP(CONCATENATE("_",AV7,"_",H13,"_",AA29),kombinace_6!ER:ES,2,0)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IF($H$15=kombinace_6!$AB$40,_strong_vzpera_horni,IF($H$15=kombinace_6!$AB$41,_stronglift_klopna,IF($H$12=kombinace_6!$BQ$2,$J$65:$J$71,'Translate&amp;Prices&amp;Logo'!$B$185:$B$186)))</f>
        <v>Horní dvířko</v>
      </c>
      <c r="K54" s="469" t="str">
        <f t="array" ref="K54:K58">IF(OR($H$15=kombinace_6!AB40,$H$15=kombinace_6!AB7,$H$15=kombinace_6!AB15,$H$15=kombinace_6!AB21,$H$15=kombinace_6!AB22,$H$15=kombinace_6!AB23),'Translate&amp;Prices&amp;Logo'!$B$229:$B$231,IF($H$15=kombinace_6!AB41,'Translate&amp;Prices&amp;Logo'!$B$229:$B$231,'Translate&amp;Prices&amp;Logo'!$B$233:$B$237))</f>
        <v>Úzký ALU rámeček</v>
      </c>
      <c r="P54" s="469" t="str">
        <f t="array" ref="P54:P57">IF(OR(H8=kombinace_6!F14,H8=kombinace_6!F15,H8=kombinace_6!F16,H8=kombinace_6!F17,H8=kombinace_6!F18,H8=kombinace_6!F19),_zavesy_kombo,IF(H15=kombinace_6!AB8,_ramena_HL,_umisteni_zavesu))</f>
        <v>Vlevo</v>
      </c>
      <c r="T54" s="469" t="str">
        <f t="array" ref="T54:T56">kombinace_6!$EN$3:$EN$5</f>
        <v>Bez úprav</v>
      </c>
      <c r="U54" s="469">
        <v>1</v>
      </c>
      <c r="X54" s="469" t="str">
        <f t="array" ref="X54:X56">kombinace_6!$X$3:$X$5</f>
        <v>Transparentní</v>
      </c>
      <c r="AD54" s="469" t="str">
        <f t="array" aca="1" ref="AD54:AD116" ca="1">IF(kombinace_6!FC2=TRUE,IF(OR(H8=kombinace_6!A13,H8=kombinace_6!A55),síťka_pro_zlatýprofil,IF(OR(H8=kombinace_6!A7,H8=kombinace_6!A51),síťka_pro_černýprofil,IF(OR(H8=kombinace_6!A4,H8=kombinace_6!A5,H8=kombinace_6!A53,H8=kombinace_6!A54),síťka_pro_bílýprofil,IF(OR(H8=kombinace_6!A3,H8=kombinace_6!A50),síťka_pro_eloxprofil)))),IF(OR(H8=kombinace_6!A15,H8=kombinace_6!A16,H8=kombinace_6!A18,H8=kombinace_6!A27,H8=kombinace_6!A28,H8=kombinace_6!A25,H8=kombinace_6!A26),_corleone,IF(H8="",_N1,INDIRECT(kombinace_6!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65536" ht="29.25" hidden="1" customHeight="1"/>
  </sheetData>
  <sheetProtection algorithmName="SHA-512" hashValue="DR1rRPQs3vKNkOEiZju5HCta0X4LWKsGodRnN2fRViUrlRmd5Cvdt3RYbUMawJJr7ftOjo5sZIQnYDSlfBbU3g==" saltValue="4gwYChF+2d7VOKaVCueD7Q==" spinCount="100000" sheet="1" objects="1" scenarios="1" selectLockedCells="1"/>
  <protectedRanges>
    <protectedRange sqref="G7 I7:R7" name="Oblast1"/>
  </protectedRanges>
  <mergeCells count="94">
    <mergeCell ref="G7:Q7"/>
    <mergeCell ref="B32:Q32"/>
    <mergeCell ref="B28:F28"/>
    <mergeCell ref="H28:Q28"/>
    <mergeCell ref="H29:I29"/>
    <mergeCell ref="J29:Q29"/>
    <mergeCell ref="B30:J31"/>
    <mergeCell ref="K30:K31"/>
    <mergeCell ref="L30:O31"/>
    <mergeCell ref="P30:Q31"/>
    <mergeCell ref="H23:Q23"/>
    <mergeCell ref="B11:F11"/>
    <mergeCell ref="H11:L11"/>
    <mergeCell ref="M11:Q11"/>
    <mergeCell ref="B12:F12"/>
    <mergeCell ref="H12:Q12"/>
    <mergeCell ref="H21:Q21"/>
    <mergeCell ref="S25:Y31"/>
    <mergeCell ref="AF30:AH30"/>
    <mergeCell ref="AB29:AO29"/>
    <mergeCell ref="AM23:AM25"/>
    <mergeCell ref="AL19:AL25"/>
    <mergeCell ref="AC25:AD25"/>
    <mergeCell ref="AJ26:AJ27"/>
    <mergeCell ref="AF25:AK25"/>
    <mergeCell ref="B19:F19"/>
    <mergeCell ref="AR19:AR23"/>
    <mergeCell ref="AI30:AK30"/>
    <mergeCell ref="AO31:AR32"/>
    <mergeCell ref="B24:F24"/>
    <mergeCell ref="H24:Q24"/>
    <mergeCell ref="AC24:AG24"/>
    <mergeCell ref="B25:F25"/>
    <mergeCell ref="H25:Q25"/>
    <mergeCell ref="S24:U24"/>
    <mergeCell ref="B26:F26"/>
    <mergeCell ref="H26:Q26"/>
    <mergeCell ref="B27:F27"/>
    <mergeCell ref="H27:Q27"/>
    <mergeCell ref="H19:Q19"/>
    <mergeCell ref="N20:Q20"/>
    <mergeCell ref="H18:Q18"/>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S13:Y17"/>
    <mergeCell ref="B14:F14"/>
    <mergeCell ref="H13:Q13"/>
    <mergeCell ref="H14:Q14"/>
    <mergeCell ref="B13:F13"/>
    <mergeCell ref="AQ7:AQ27"/>
    <mergeCell ref="A2:AJ3"/>
    <mergeCell ref="AP2:AS3"/>
    <mergeCell ref="BD3:BH3"/>
    <mergeCell ref="BI3:BM3"/>
    <mergeCell ref="B5:D5"/>
    <mergeCell ref="F5:H5"/>
    <mergeCell ref="J5:L5"/>
    <mergeCell ref="N5:P5"/>
    <mergeCell ref="R5:T5"/>
    <mergeCell ref="AB4:AN5"/>
    <mergeCell ref="M10:Q10"/>
    <mergeCell ref="AC8:AG8"/>
    <mergeCell ref="S10:Y12"/>
    <mergeCell ref="S18:Y23"/>
    <mergeCell ref="H10:L10"/>
    <mergeCell ref="B33:Y33"/>
    <mergeCell ref="V5:X5"/>
    <mergeCell ref="B7:F7"/>
    <mergeCell ref="S7:U7"/>
    <mergeCell ref="AJ7:AJ8"/>
    <mergeCell ref="H8:Q8"/>
    <mergeCell ref="B9:F9"/>
    <mergeCell ref="H9:Q9"/>
    <mergeCell ref="AC9:AD9"/>
    <mergeCell ref="N16:Q16"/>
    <mergeCell ref="S8:Y9"/>
    <mergeCell ref="AF9:AK9"/>
    <mergeCell ref="AD10:AD12"/>
    <mergeCell ref="AE10:AE16"/>
    <mergeCell ref="AD14:AD21"/>
    <mergeCell ref="AB19:AC19"/>
  </mergeCells>
  <conditionalFormatting sqref="A1:AS1 A4:AB4 AO4:AS5 A5 E5 I5 M5 Q5 U5 Y5:AA5 A6:Z6 AR6:AS13 V7:Z7 A7:A32 R8:R31 Z8:Z31 AS14:AS32 AR24:AR30 B29:G29 AA29 AP29:AQ29 AA30:AE30 AL30:AQ30 AA31:AN31 R32:AN32 A33:B33 Z33:AE33 AG33:IV33">
    <cfRule type="expression" dxfId="243" priority="23">
      <formula>$AS$33=1</formula>
    </cfRule>
  </conditionalFormatting>
  <conditionalFormatting sqref="B5 F5 J5 N5 R5 V5">
    <cfRule type="cellIs" dxfId="242" priority="29" operator="equal">
      <formula>$A$2</formula>
    </cfRule>
  </conditionalFormatting>
  <conditionalFormatting sqref="B10:G10">
    <cfRule type="expression" dxfId="241" priority="22">
      <formula>$AS$33=1</formula>
    </cfRule>
  </conditionalFormatting>
  <conditionalFormatting sqref="B16:I16">
    <cfRule type="expression" dxfId="240" priority="52">
      <formula>$AU$19=0</formula>
    </cfRule>
  </conditionalFormatting>
  <conditionalFormatting sqref="B9:Q9">
    <cfRule type="expression" dxfId="239" priority="37">
      <formula>$B$9=0</formula>
    </cfRule>
  </conditionalFormatting>
  <conditionalFormatting sqref="B11:Q11">
    <cfRule type="expression" dxfId="238" priority="51">
      <formula>$AU$10=0</formula>
    </cfRule>
  </conditionalFormatting>
  <conditionalFormatting sqref="B14:Q14">
    <cfRule type="expression" dxfId="237" priority="36">
      <formula>$B$14=0</formula>
    </cfRule>
  </conditionalFormatting>
  <conditionalFormatting sqref="B17:Q17">
    <cfRule type="expression" dxfId="236" priority="35">
      <formula>$B$17=0</formula>
    </cfRule>
  </conditionalFormatting>
  <conditionalFormatting sqref="B18:Q18">
    <cfRule type="expression" dxfId="235" priority="11" stopIfTrue="1">
      <formula>$B$18=0</formula>
    </cfRule>
    <cfRule type="expression" dxfId="234" priority="14">
      <formula>$F$16=$H$61</formula>
    </cfRule>
  </conditionalFormatting>
  <conditionalFormatting sqref="B19:Q19">
    <cfRule type="expression" dxfId="233" priority="34">
      <formula>$B$19=0</formula>
    </cfRule>
  </conditionalFormatting>
  <conditionalFormatting sqref="B20:Q20">
    <cfRule type="expression" dxfId="232" priority="31">
      <formula>$B$19=0</formula>
    </cfRule>
    <cfRule type="expression" dxfId="231" priority="30">
      <formula>$B$20=0</formula>
    </cfRule>
  </conditionalFormatting>
  <conditionalFormatting sqref="B21:Q21">
    <cfRule type="expression" dxfId="230" priority="3">
      <formula>$B$21=" "</formula>
    </cfRule>
  </conditionalFormatting>
  <conditionalFormatting sqref="B24:Q24">
    <cfRule type="expression" dxfId="229" priority="17" stopIfTrue="1">
      <formula>$T$59&lt;3</formula>
    </cfRule>
  </conditionalFormatting>
  <conditionalFormatting sqref="H23">
    <cfRule type="expression" dxfId="228" priority="38">
      <formula>$H$25&gt;0</formula>
    </cfRule>
  </conditionalFormatting>
  <conditionalFormatting sqref="H10:L11">
    <cfRule type="expression" dxfId="227" priority="27">
      <formula>$AU$10=2</formula>
    </cfRule>
  </conditionalFormatting>
  <conditionalFormatting sqref="H10:Q10">
    <cfRule type="expression" dxfId="226" priority="26">
      <formula>$AU$10=0</formula>
    </cfRule>
  </conditionalFormatting>
  <conditionalFormatting sqref="H22:Q22 B22:G23">
    <cfRule type="expression" dxfId="225" priority="21">
      <formula>$AS$33=1</formula>
    </cfRule>
  </conditionalFormatting>
  <conditionalFormatting sqref="J16:M16">
    <cfRule type="expression" dxfId="224" priority="13" stopIfTrue="1">
      <formula>$K$60=TRUE</formula>
    </cfRule>
  </conditionalFormatting>
  <conditionalFormatting sqref="J16:N16">
    <cfRule type="expression" dxfId="223" priority="15" stopIfTrue="1">
      <formula>$AV$19=0</formula>
    </cfRule>
  </conditionalFormatting>
  <conditionalFormatting sqref="M10:Q11">
    <cfRule type="expression" dxfId="222" priority="25">
      <formula>$AU$10=1</formula>
    </cfRule>
  </conditionalFormatting>
  <conditionalFormatting sqref="N16:Q16">
    <cfRule type="expression" dxfId="221" priority="12" stopIfTrue="1">
      <formula>$K$60=TRUE</formula>
    </cfRule>
  </conditionalFormatting>
  <conditionalFormatting sqref="S7:S8">
    <cfRule type="cellIs" dxfId="220" priority="33" operator="equal">
      <formula>0</formula>
    </cfRule>
  </conditionalFormatting>
  <conditionalFormatting sqref="S24">
    <cfRule type="cellIs" dxfId="219" priority="32" operator="equal">
      <formula>0</formula>
    </cfRule>
  </conditionalFormatting>
  <conditionalFormatting sqref="S8:Y23 AQ7:AQ27 S25:Y31 AB29:AO29">
    <cfRule type="expression" dxfId="218" priority="19">
      <formula>$AS$33=1</formula>
    </cfRule>
  </conditionalFormatting>
  <conditionalFormatting sqref="S8:Y23">
    <cfRule type="cellIs" dxfId="217" priority="28" operator="equal">
      <formula>0</formula>
    </cfRule>
  </conditionalFormatting>
  <conditionalFormatting sqref="S18:Y23">
    <cfRule type="expression" dxfId="216" priority="16" stopIfTrue="1">
      <formula>$S$18=FALSE</formula>
    </cfRule>
  </conditionalFormatting>
  <conditionalFormatting sqref="V24:Y24">
    <cfRule type="expression" dxfId="215" priority="20">
      <formula>$AS$33=1</formula>
    </cfRule>
  </conditionalFormatting>
  <conditionalFormatting sqref="AA9:AA10 AA24:AA25">
    <cfRule type="expression" dxfId="214" priority="7" stopIfTrue="1">
      <formula>$AU$17=1</formula>
    </cfRule>
  </conditionalFormatting>
  <conditionalFormatting sqref="AA16:AA17">
    <cfRule type="expression" dxfId="213" priority="2" stopIfTrue="1">
      <formula>$AU$24="1_3"</formula>
    </cfRule>
  </conditionalFormatting>
  <conditionalFormatting sqref="AC6:AD6 AM6:AN6">
    <cfRule type="expression" dxfId="212" priority="9" stopIfTrue="1">
      <formula>$AU$17=3</formula>
    </cfRule>
  </conditionalFormatting>
  <conditionalFormatting sqref="AC25:AD25 AJ26:AJ27">
    <cfRule type="expression" dxfId="211" priority="46">
      <formula>$AU$25=4</formula>
    </cfRule>
  </conditionalFormatting>
  <conditionalFormatting sqref="AC28:AD28 AM28:AN28">
    <cfRule type="expression" dxfId="210" priority="8" stopIfTrue="1">
      <formula>$AU$17=4</formula>
    </cfRule>
  </conditionalFormatting>
  <conditionalFormatting sqref="AC8:AG8">
    <cfRule type="expression" dxfId="209" priority="50">
      <formula>$AU$25=3</formula>
    </cfRule>
  </conditionalFormatting>
  <conditionalFormatting sqref="AC24:AG24">
    <cfRule type="expression" dxfId="208" priority="47">
      <formula>$AU$25=4</formula>
    </cfRule>
  </conditionalFormatting>
  <conditionalFormatting sqref="AD10:AD12 AB19:AC19">
    <cfRule type="expression" dxfId="207" priority="40">
      <formula>$AU$25=1</formula>
    </cfRule>
  </conditionalFormatting>
  <conditionalFormatting sqref="AD14:AD21">
    <cfRule type="expression" dxfId="206" priority="39">
      <formula>$AU$25=1</formula>
    </cfRule>
  </conditionalFormatting>
  <conditionalFormatting sqref="AE10:AE16">
    <cfRule type="expression" dxfId="205" priority="48">
      <formula>$AU$25=1</formula>
    </cfRule>
  </conditionalFormatting>
  <conditionalFormatting sqref="AF9:AK9">
    <cfRule type="expression" dxfId="204" priority="43">
      <formula>$AU$25=3</formula>
    </cfRule>
  </conditionalFormatting>
  <conditionalFormatting sqref="AF25:AK25">
    <cfRule type="expression" dxfId="203" priority="45">
      <formula>$AU$25=4</formula>
    </cfRule>
  </conditionalFormatting>
  <conditionalFormatting sqref="AG6:AH6">
    <cfRule type="expression" dxfId="202" priority="5" stopIfTrue="1">
      <formula>$AU$24="3_3"</formula>
    </cfRule>
  </conditionalFormatting>
  <conditionalFormatting sqref="AG28:AH28">
    <cfRule type="expression" dxfId="201" priority="4" stopIfTrue="1">
      <formula>$AU$24="4_3"</formula>
    </cfRule>
  </conditionalFormatting>
  <conditionalFormatting sqref="AI19">
    <cfRule type="expression" dxfId="200" priority="1" stopIfTrue="1">
      <formula>AV1048555=2</formula>
    </cfRule>
  </conditionalFormatting>
  <conditionalFormatting sqref="AJ7:AJ8 AC9:AD9">
    <cfRule type="expression" dxfId="199" priority="44">
      <formula>$AU$25=3</formula>
    </cfRule>
  </conditionalFormatting>
  <conditionalFormatting sqref="AL19:AL25">
    <cfRule type="expression" dxfId="198" priority="49">
      <formula>$AU$25=2</formula>
    </cfRule>
  </conditionalFormatting>
  <conditionalFormatting sqref="AM14:AM21">
    <cfRule type="expression" dxfId="197" priority="41">
      <formula>$AU$25=2</formula>
    </cfRule>
  </conditionalFormatting>
  <conditionalFormatting sqref="AN19:AO19 AM23:AM25">
    <cfRule type="expression" dxfId="196" priority="42">
      <formula>$AU$25=2</formula>
    </cfRule>
  </conditionalFormatting>
  <conditionalFormatting sqref="AP9:AP10 AP24:AP25">
    <cfRule type="expression" dxfId="195" priority="6" stopIfTrue="1">
      <formula>$AU$17=2</formula>
    </cfRule>
  </conditionalFormatting>
  <conditionalFormatting sqref="AP16:AP17">
    <cfRule type="expression" dxfId="194" priority="10" stopIfTrue="1">
      <formula>$AU$24="2_3"</formula>
    </cfRule>
  </conditionalFormatting>
  <conditionalFormatting sqref="AQ6 AQ28">
    <cfRule type="expression" dxfId="193" priority="18">
      <formula>$AS$33=1</formula>
    </cfRule>
  </conditionalFormatting>
  <conditionalFormatting sqref="AQ7:AQ27 AB29:AO29">
    <cfRule type="cellIs" dxfId="192" priority="24" operator="equal">
      <formula>0</formula>
    </cfRule>
  </conditionalFormatting>
  <dataValidations count="24">
    <dataValidation type="list" allowBlank="1" showInputMessage="1" showErrorMessage="1" sqref="H18:Q18" xr:uid="{6DDD3269-EDA5-42D3-B9F4-FD669F0DD13C}">
      <formula1>INDIRECT(CONCATENATE("_",AV7,"_",H15))</formula1>
    </dataValidation>
    <dataValidation type="whole" allowBlank="1" showInputMessage="1" showErrorMessage="1" sqref="J11 L11" xr:uid="{F2687A78-FBCA-4E88-AF0B-F59B74401DEA}">
      <formula1>1</formula1>
      <formula2>(V16/100)-1</formula2>
    </dataValidation>
    <dataValidation type="whole" allowBlank="1" showInputMessage="1" showErrorMessage="1" sqref="H11:I11" xr:uid="{4011FF9F-CDAA-41C9-A3EC-773DF35C3ABA}">
      <formula1>1</formula1>
      <formula2>(AR14/100)-1</formula2>
    </dataValidation>
    <dataValidation type="whole" allowBlank="1" showInputMessage="1" showErrorMessage="1" sqref="M11:Q11" xr:uid="{D68A77A3-48AF-4B84-B43D-0419B2C8BABE}">
      <formula1>1</formula1>
      <formula2>(AI30/100)-1</formula2>
    </dataValidation>
    <dataValidation type="whole" allowBlank="1" showInputMessage="1" showErrorMessage="1" sqref="K11" xr:uid="{8833F66D-2D13-402E-B42A-CD0E1CC18F7E}">
      <formula1>1</formula1>
      <formula2>(#REF!/100)-1</formula2>
    </dataValidation>
    <dataValidation type="whole" allowBlank="1" showInputMessage="1" showErrorMessage="1" errorTitle="Minimum 80 mm" sqref="F20:I20 N20:Q20" xr:uid="{BEA737DD-4052-48ED-A4CE-E04AB4F76182}">
      <formula1>80</formula1>
      <formula2>1300</formula2>
    </dataValidation>
    <dataValidation type="list" allowBlank="1" showInputMessage="1" showErrorMessage="1" sqref="H27:Q27" xr:uid="{59357F72-8ECD-47ED-8D92-17C24EB2A01F}">
      <formula1>_umisteni_zavesu</formula1>
    </dataValidation>
    <dataValidation type="whole" operator="greaterThanOrEqual" allowBlank="1" showInputMessage="1" showErrorMessage="1" sqref="H26:Q26" xr:uid="{28869081-24A2-4104-BBFA-62018EE766CC}">
      <formula1>1</formula1>
    </dataValidation>
    <dataValidation type="list" allowBlank="1" showInputMessage="1" showErrorMessage="1" sqref="H12:Q12" xr:uid="{535CC1AE-A053-4072-9B0C-C40D1FAB46FC}">
      <formula1>$L$36:$M$36</formula1>
    </dataValidation>
    <dataValidation type="list" allowBlank="1" showInputMessage="1" showErrorMessage="1" sqref="H24:Q24" xr:uid="{E6F841D5-94FD-4659-9619-43D2D5D801A9}">
      <formula1>$X$54:$X$56</formula1>
    </dataValidation>
    <dataValidation type="list" allowBlank="1" showInputMessage="1" showErrorMessage="1" sqref="H21:Q21" xr:uid="{C52A616C-2242-4620-919F-0C60B87C6B33}">
      <formula1>$T$54:$T$56</formula1>
    </dataValidation>
    <dataValidation type="list" allowBlank="1" showInputMessage="1" showErrorMessage="1" sqref="H17:Q17" xr:uid="{9F10B165-B8E9-4307-A6E5-94E8E081173D}">
      <formula1>$P$54:$P$57</formula1>
    </dataValidation>
    <dataValidation type="list" allowBlank="1" showInputMessage="1" showErrorMessage="1" sqref="N16:Q16" xr:uid="{93755BC3-A6F0-4254-B809-0C57F3EE5E5F}">
      <formula1>$K$54:$K$58</formula1>
    </dataValidation>
    <dataValidation type="list" allowBlank="1" showInputMessage="1" showErrorMessage="1" sqref="H14:Q14" xr:uid="{03616AAB-B05D-4745-84DC-8903673ECF81}">
      <formula1>$P$36:$P$38</formula1>
    </dataValidation>
    <dataValidation type="list" allowBlank="1" showInputMessage="1" showErrorMessage="1" sqref="H13:Q13" xr:uid="{1D8F9D3B-0172-4366-8B1C-FDD3B65DC2AE}">
      <formula1>IF(M38="Salice",$L$38,$L$38:$L$42)</formula1>
    </dataValidation>
    <dataValidation type="list" allowBlank="1" showInputMessage="1" showErrorMessage="1" sqref="H29:I29" xr:uid="{85CA1049-F646-48A8-A53C-5F988E85DD2D}">
      <formula1>$F$29:$G$29</formula1>
    </dataValidation>
    <dataValidation type="list" allowBlank="1" showInputMessage="1" showErrorMessage="1" sqref="H25:Q25" xr:uid="{0FA485BA-8DD7-40B6-B396-4DA4793B4D14}">
      <formula1>$AD$54:$AD$111</formula1>
    </dataValidation>
    <dataValidation type="list" allowBlank="1" showInputMessage="1" showErrorMessage="1" sqref="F16:I16" xr:uid="{9826EF62-B750-419C-BCB7-330644BFF905}">
      <formula1>$H$54:$H$60</formula1>
    </dataValidation>
    <dataValidation type="list" allowBlank="1" showInputMessage="1" showErrorMessage="1" sqref="H19:Q19" xr:uid="{D46F0B7A-ACE6-4B73-9E4D-F5509A98C4B8}">
      <formula1>IF(H13="Salice",$AJ$36,($AJ$36:$AJ$40))</formula1>
    </dataValidation>
    <dataValidation type="list" allowBlank="1" showInputMessage="1" showErrorMessage="1" sqref="H15:Q15" xr:uid="{E8E8CE97-3F11-41EF-BB43-D95481C38514}">
      <formula1>$T$36:$T$45</formula1>
    </dataValidation>
    <dataValidation type="whole" operator="lessThan" showErrorMessage="1" errorTitle="MAX 1300 mm" error="MAXIMUM 1250 mm x 2550 mm" sqref="AI30:AK30" xr:uid="{CB6DD948-8E66-4C4A-920D-046FB3F282A6}">
      <formula1>IF(AR14&gt;1252,1251,2551)</formula1>
    </dataValidation>
    <dataValidation type="whole" operator="lessThan" showErrorMessage="1" errorTitle="MAX 2500" error="MAXIMUM 1250 mm x 2550 mm" sqref="AR14:AR18" xr:uid="{BDF41DE7-D2A3-47C5-8FD9-54B54634B636}">
      <formula1>IF(AI30&gt;=1251,1251,2551)</formula1>
    </dataValidation>
    <dataValidation type="list" allowBlank="1" showInputMessage="1" showErrorMessage="1" sqref="H8:Q8" xr:uid="{84FB6697-5677-4DBA-B14E-84948C54EE6C}">
      <formula1>_Roletka_profil_6</formula1>
    </dataValidation>
    <dataValidation type="list" allowBlank="1" showInputMessage="1" showErrorMessage="1" sqref="H9:Q9" xr:uid="{12762EF6-67FF-4EC1-B34D-A7A17D8C2D33}">
      <formula1>_roletka_predely</formula1>
    </dataValidation>
  </dataValidations>
  <hyperlinks>
    <hyperlink ref="AP2:AS3" location="Hlavní!A1" display="Hlavní!A1" xr:uid="{F7E0AA31-18D8-4E06-8045-A7A17AE6CD14}"/>
    <hyperlink ref="F5:H5" location="Ram_2!A1" display="Ram_2!A1" xr:uid="{8FE67A13-909F-4D3C-8D67-B1EB30118F93}"/>
    <hyperlink ref="N5:P5" location="Ram_4!A1" display="Ram_4!A1" xr:uid="{F231B31C-9B39-4586-B985-1E96A3D9A9BD}"/>
    <hyperlink ref="R5:T5" location="Ram_5!A1" display="Ram_5!A1" xr:uid="{CCBDC160-2B68-48C4-8C25-CAF9820E2133}"/>
    <hyperlink ref="V5:X5" location="Ram_6!A1" display="Ram_6!A1" xr:uid="{4780433F-9FE7-448A-A823-450281CD832D}"/>
    <hyperlink ref="B5:D5" location="Ram_1!A1" display="Ram_1!A1" xr:uid="{0BFE7E87-5263-419C-BED1-13869148B6FD}"/>
    <hyperlink ref="AO31:AR32" location="_souhrn!A1" display="_souhrn!A1" xr:uid="{ABF9A82D-A172-4933-A8DE-7934FA37D8AB}"/>
    <hyperlink ref="J5:L5" location="Ram_3!A1" display="Ram_3!A1" xr:uid="{DF4C3987-8C3E-42AC-AF45-DF1252411B61}"/>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49" r:id="rId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334853" r:id="rId5"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334905" r:id="rId6" name="Check Box 57">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5496" r:id="rId7"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497" r:id="rId8" name="Check Box 1113">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5498" r:id="rId9" name="Check Box 1114">
              <controlPr defaultSize="0" autoFill="0" autoLine="0" autoPict="0">
                <anchor moveWithCells="1">
                  <from>
                    <xdr:col>5</xdr:col>
                    <xdr:colOff>57150</xdr:colOff>
                    <xdr:row>6</xdr:row>
                    <xdr:rowOff>95250</xdr:rowOff>
                  </from>
                  <to>
                    <xdr:col>7</xdr:col>
                    <xdr:colOff>247650</xdr:colOff>
                    <xdr:row>7</xdr:row>
                    <xdr:rowOff>314325</xdr:rowOff>
                  </to>
                </anchor>
              </controlPr>
            </control>
          </mc:Choice>
        </mc:AlternateContent>
        <mc:AlternateContent xmlns:mc="http://schemas.openxmlformats.org/markup-compatibility/2006">
          <mc:Choice Requires="x14">
            <control shapeId="785609" r:id="rId10"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5610" r:id="rId11" name="Check Box 1226">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19" r:id="rId12"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20" r:id="rId13" name="Check Box 1736">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21" r:id="rId1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22" r:id="rId15" name="Check Box 1738">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24" r:id="rId16"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25" r:id="rId17" name="Check Box 1741">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26" r:id="rId18"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27" r:id="rId19" name="Check Box 1743">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36" r:id="rId20"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37" r:id="rId21" name="Check Box 1753">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6139" r:id="rId22"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140" r:id="rId23" name="Check Box 1756">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6427" r:id="rId2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428" r:id="rId25" name="Check Box 2044">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6429" r:id="rId26" name="Check Box 2045">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6430" r:id="rId27" name="Check Box 2046">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953344" r:id="rId28" name="Check Box 2048">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3345" r:id="rId29" name="Check Box 2049">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953346" r:id="rId30" name="Check Box 2050">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3347" r:id="rId31" name="Check Box 2051">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953348" r:id="rId32" name="Check Box 2052">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3350" r:id="rId33" name="Check Box 2054">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53525" r:id="rId3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H570"/>
  <sheetViews>
    <sheetView topLeftCell="BR1" workbookViewId="0">
      <selection activeCell="CD25" sqref="CD25"/>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VLOOKUP(Ram_6!H8,kombinace_6!$A:$C,3,0)</f>
        <v>#N/A</v>
      </c>
      <c r="S1" t="e">
        <f>CONCATENATE("_",R1,V1)</f>
        <v>#N/A</v>
      </c>
      <c r="U1" s="485" t="s">
        <v>2052</v>
      </c>
      <c r="V1" s="12">
        <f>IFERROR(VLOOKUP(Ram_6!H21,$EN$3:$EO$5,2,0),1)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CONCATENATE("_",Ram_6!H12,"_",Ram_6!H13)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IF(OR(Ram_6!$H$13&amp;Ram_6!$AU$7=Ram_6!$M$44,(Ram_6!$H$13&amp;Ram_6!$AU$7=Ram_6!$M$45)),'Translate&amp;Prices&amp;Logo'!B657,'Translate&amp;Prices&amp;Logo'!B554)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IF(OR(Ram_6!$H$13&amp;Ram_6!$AU$7=Ram_6!$M$44,(Ram_6!$H$13&amp;Ram_6!$AU$7=Ram_6!$M$45)),'Translate&amp;Prices&amp;Logo'!B657,'Translate&amp;Prices&amp;Logo'!B555)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IF(Ram_6!$H$9=kombinace_6!M10,1,0)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IF(Ram_6!$H$9=kombinace_6!M11,2,0)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IF(Ram_6!$H$9=kombinace_6!M12,3,0)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IF(Ram_6!AU7=2,"FREEspace","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conditionalFormatting sqref="A32:A34 A50:A55 A57:A61 A3:A13 A15:A29 A38:A42 A44:A48 A72:A99">
    <cfRule type="expression" dxfId="191" priority="44" stopIfTrue="1">
      <formula>AND(COUNTIF($A$38:$A$42, A3)+COUNTIF($A$3:$A$13, A3)+COUNTIF($A$15:$A$29, A3)+COUNTIF($A$32:$A$34, A3)+COUNTIF($A$44:$A$48, A3)+COUNTIF($A$50:$A$55, A3)+COUNTIF($A$57:$A$99, A3)&gt;1,NOT(ISBLANK(A3)))</formula>
    </cfRule>
  </conditionalFormatting>
  <conditionalFormatting sqref="A33 A55 A57:A61">
    <cfRule type="expression" dxfId="190" priority="40" stopIfTrue="1">
      <formula>AND(COUNTIF($A$55:$A$55, A33)+COUNTIF($A$57:$A$62, A33)+COUNTIF($A$33:$A$33, A33)&gt;1,NOT(ISBLANK(A33)))</formula>
    </cfRule>
  </conditionalFormatting>
  <conditionalFormatting sqref="F14:F19">
    <cfRule type="duplicateValues" dxfId="189" priority="16"/>
  </conditionalFormatting>
  <conditionalFormatting sqref="P2:P61 P63:P65536">
    <cfRule type="expression" dxfId="188" priority="38" stopIfTrue="1">
      <formula>AND(COUNTIF($P$63:$P$65536, P2)+COUNTIF($P$2:$P$61, P2)&gt;1,NOT(ISBLANK(P2)))</formula>
    </cfRule>
  </conditionalFormatting>
  <conditionalFormatting sqref="Q2 Q4 Q6:Q62 Q68:Q65536">
    <cfRule type="expression" dxfId="187" priority="45" stopIfTrue="1">
      <formula>AND(COUNTIF($Q$68:$Q$65536, Q2)+COUNTIF($Q$2:$Q$2, Q2)+COUNTIF($Q$4:$Q$4, Q2)+COUNTIF($Q$6:$Q$62, Q2)&gt;1,NOT(ISBLANK(Q2)))</formula>
    </cfRule>
  </conditionalFormatting>
  <conditionalFormatting sqref="R4:R6">
    <cfRule type="duplicateValues" dxfId="186" priority="28"/>
  </conditionalFormatting>
  <conditionalFormatting sqref="R7:R8">
    <cfRule type="duplicateValues" dxfId="185" priority="27"/>
  </conditionalFormatting>
  <conditionalFormatting sqref="R9">
    <cfRule type="duplicateValues" dxfId="184" priority="26"/>
  </conditionalFormatting>
  <conditionalFormatting sqref="R10:R33">
    <cfRule type="duplicateValues" dxfId="183" priority="34"/>
  </conditionalFormatting>
  <conditionalFormatting sqref="R34:R39">
    <cfRule type="duplicateValues" dxfId="182" priority="41"/>
  </conditionalFormatting>
  <conditionalFormatting sqref="R40:R42">
    <cfRule type="duplicateValues" dxfId="181" priority="25"/>
  </conditionalFormatting>
  <conditionalFormatting sqref="R49:R55">
    <cfRule type="duplicateValues" dxfId="180" priority="29"/>
  </conditionalFormatting>
  <conditionalFormatting sqref="R49:R61 R2 R63:R65536">
    <cfRule type="expression" dxfId="179" priority="37" stopIfTrue="1">
      <formula>AND(COUNTIF($R$2:$R$2, R2)+COUNTIF($R$63:$R$65536, R2)+COUNTIF($R$49:$R$61, R2)&gt;1,NOT(ISBLANK(R2)))</formula>
    </cfRule>
  </conditionalFormatting>
  <conditionalFormatting sqref="R56:R57">
    <cfRule type="duplicateValues" dxfId="178" priority="30"/>
  </conditionalFormatting>
  <conditionalFormatting sqref="R58:R61 R63">
    <cfRule type="expression" dxfId="177" priority="39" stopIfTrue="1">
      <formula>AND(COUNTIF($R$63:$R$63, R58)+COUNTIF($R$58:$R$61, R58)&gt;1,NOT(ISBLANK(R58)))</formula>
    </cfRule>
  </conditionalFormatting>
  <conditionalFormatting sqref="S4">
    <cfRule type="duplicateValues" dxfId="176" priority="24"/>
  </conditionalFormatting>
  <conditionalFormatting sqref="S6:S9">
    <cfRule type="duplicateValues" dxfId="175" priority="10"/>
  </conditionalFormatting>
  <conditionalFormatting sqref="S10:S15">
    <cfRule type="duplicateValues" dxfId="174" priority="23"/>
  </conditionalFormatting>
  <conditionalFormatting sqref="S16:S17">
    <cfRule type="duplicateValues" dxfId="173" priority="22"/>
  </conditionalFormatting>
  <conditionalFormatting sqref="S18:S23">
    <cfRule type="duplicateValues" dxfId="172" priority="33"/>
  </conditionalFormatting>
  <conditionalFormatting sqref="S24:S52">
    <cfRule type="duplicateValues" dxfId="171" priority="31"/>
  </conditionalFormatting>
  <conditionalFormatting sqref="T4">
    <cfRule type="duplicateValues" dxfId="170" priority="21"/>
  </conditionalFormatting>
  <conditionalFormatting sqref="U4:U6">
    <cfRule type="duplicateValues" dxfId="169" priority="20"/>
  </conditionalFormatting>
  <conditionalFormatting sqref="U7:U30">
    <cfRule type="duplicateValues" dxfId="168" priority="35"/>
  </conditionalFormatting>
  <conditionalFormatting sqref="U31:U37">
    <cfRule type="duplicateValues" dxfId="167" priority="42"/>
  </conditionalFormatting>
  <conditionalFormatting sqref="U38:U40">
    <cfRule type="duplicateValues" dxfId="166" priority="19"/>
  </conditionalFormatting>
  <conditionalFormatting sqref="V4:V6">
    <cfRule type="duplicateValues" dxfId="165" priority="18"/>
  </conditionalFormatting>
  <conditionalFormatting sqref="V7:V30">
    <cfRule type="duplicateValues" dxfId="164" priority="36"/>
  </conditionalFormatting>
  <conditionalFormatting sqref="V31:V37">
    <cfRule type="duplicateValues" dxfId="163" priority="43"/>
  </conditionalFormatting>
  <conditionalFormatting sqref="V38:V40">
    <cfRule type="duplicateValues" dxfId="162" priority="17"/>
  </conditionalFormatting>
  <conditionalFormatting sqref="AC4:AC13 AC15:AC23 AC29:AC34 AC40:AC41 AC43:AC45 AC50:AC53 AC60:AC63">
    <cfRule type="cellIs" dxfId="161" priority="32" operator="equal">
      <formula>1</formula>
    </cfRule>
  </conditionalFormatting>
  <conditionalFormatting sqref="BQ9:BQ10">
    <cfRule type="duplicateValues" dxfId="160" priority="14"/>
  </conditionalFormatting>
  <conditionalFormatting sqref="BQ2:BR2">
    <cfRule type="duplicateValues" dxfId="159" priority="15"/>
  </conditionalFormatting>
  <conditionalFormatting sqref="DT2:DT44">
    <cfRule type="duplicateValues" dxfId="156" priority="6"/>
  </conditionalFormatting>
  <conditionalFormatting sqref="DT2:DT570">
    <cfRule type="duplicateValues" dxfId="155" priority="1"/>
  </conditionalFormatting>
  <conditionalFormatting sqref="DT45:DT87">
    <cfRule type="duplicateValues" dxfId="154" priority="4"/>
  </conditionalFormatting>
  <conditionalFormatting sqref="DT88:DT130">
    <cfRule type="duplicateValues" dxfId="153" priority="5"/>
  </conditionalFormatting>
  <conditionalFormatting sqref="DT131:DT173">
    <cfRule type="duplicateValues" dxfId="152" priority="7"/>
  </conditionalFormatting>
  <conditionalFormatting sqref="DT174:DT217">
    <cfRule type="duplicateValues" dxfId="151" priority="8"/>
  </conditionalFormatting>
  <conditionalFormatting sqref="DT257:DT287">
    <cfRule type="duplicateValues" dxfId="150" priority="13"/>
  </conditionalFormatting>
  <conditionalFormatting sqref="DU257:DU286">
    <cfRule type="duplicateValues" dxfId="149" priority="12"/>
  </conditionalFormatting>
  <conditionalFormatting sqref="DU287">
    <cfRule type="duplicateValues" dxfId="148" priority="11"/>
  </conditionalFormatting>
  <conditionalFormatting sqref="DW346:DW347">
    <cfRule type="expression" dxfId="147" priority="9" stopIfTrue="1">
      <formula>AND(COUNTIF($A$38:$A$42, DW346)+COUNTIF($A$3:$A$13, DW346)+COUNTIF($A$15:$A$29, DW346)+COUNTIF($A$32:$A$34, DW346)+COUNTIF($A$44:$A$48, DW346)+COUNTIF($A$50:$A$55, DW346)+COUNTIF($A$57:$A$99, DW346)&gt;1,NOT(ISBLANK(DW346)))</formula>
    </cfRule>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2" id="{BF48035C-FFAB-48BD-B7DE-D8E8B7D2B6FE}">
            <xm:f>OR(Ram_6!$AU$10=1,Ram_6!$AU$10=3)</xm:f>
            <x14:dxf>
              <fill>
                <patternFill patternType="darkDown"/>
              </fill>
            </x14:dxf>
          </x14:cfRule>
          <xm:sqref>CH13</xm:sqref>
        </x14:conditionalFormatting>
        <x14:conditionalFormatting xmlns:xm="http://schemas.microsoft.com/office/excel/2006/main">
          <x14:cfRule type="expression" priority="3" id="{0DCA903C-B982-4653-8593-6E7929364E06}">
            <xm:f>OR(Ram_6!$AU$10=2,Ram_6!$AU$10=3)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352"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12" customWidth="1"/>
    <col min="31" max="31" width="5.42578125" style="160"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211" hidden="1" customWidth="1"/>
    <col min="49" max="55" width="8.5703125" style="1" hidden="1" customWidth="1"/>
    <col min="56" max="16384" width="8.5703125" style="1" hidden="1"/>
  </cols>
  <sheetData>
    <row r="1" spans="1:41" ht="15">
      <c r="A1" s="350"/>
      <c r="B1" s="350"/>
      <c r="C1" s="324"/>
      <c r="D1" s="324"/>
      <c r="E1" s="324"/>
      <c r="F1" s="324"/>
      <c r="G1" s="324"/>
      <c r="H1" s="324"/>
      <c r="I1" s="324"/>
      <c r="J1" s="324"/>
      <c r="K1" s="324"/>
      <c r="L1" s="324"/>
      <c r="M1" s="324"/>
      <c r="N1" s="324"/>
      <c r="O1" s="324"/>
      <c r="P1" s="324"/>
      <c r="Q1" s="324"/>
      <c r="R1" s="324"/>
      <c r="S1" s="324"/>
      <c r="T1" s="324"/>
      <c r="U1" s="324"/>
    </row>
    <row r="2" spans="1:41" ht="15">
      <c r="A2" s="351"/>
      <c r="B2" s="351"/>
      <c r="C2" s="325"/>
      <c r="D2" s="325"/>
      <c r="E2" s="325"/>
      <c r="F2" s="325"/>
      <c r="G2" s="325"/>
      <c r="H2" s="325"/>
      <c r="I2" s="325"/>
      <c r="J2" s="325"/>
      <c r="K2" s="325"/>
      <c r="L2" s="325"/>
      <c r="M2" s="325"/>
      <c r="N2" s="325"/>
      <c r="O2" s="325"/>
      <c r="P2" s="325"/>
      <c r="Q2" s="325"/>
      <c r="R2" s="325"/>
      <c r="S2" s="325"/>
      <c r="T2" s="270"/>
      <c r="U2" s="270"/>
      <c r="V2" s="270"/>
      <c r="W2" s="270"/>
      <c r="X2" s="270"/>
      <c r="Y2" s="270"/>
      <c r="Z2" s="270"/>
      <c r="AA2" s="270"/>
      <c r="AB2" s="270"/>
      <c r="AC2" s="270"/>
      <c r="AD2" s="271"/>
      <c r="AE2" s="272"/>
      <c r="AF2" s="270"/>
      <c r="AG2" s="270"/>
      <c r="AH2" s="270"/>
      <c r="AI2" s="270"/>
      <c r="AJ2" s="270"/>
      <c r="AK2" s="579" t="str">
        <f>'Translate&amp;Prices&amp;Logo'!$B$540</f>
        <v>Úvod</v>
      </c>
      <c r="AL2" s="580"/>
      <c r="AM2" s="580"/>
      <c r="AN2" s="580"/>
    </row>
    <row r="3" spans="1:41" ht="15">
      <c r="A3" s="351"/>
      <c r="B3" s="351"/>
      <c r="C3" s="325"/>
      <c r="D3" s="325"/>
      <c r="E3" s="325"/>
      <c r="F3" s="325"/>
      <c r="G3" s="325"/>
      <c r="H3" s="325"/>
      <c r="I3" s="325"/>
      <c r="J3" s="325"/>
      <c r="K3" s="325"/>
      <c r="L3" s="325"/>
      <c r="M3" s="325"/>
      <c r="N3" s="325"/>
      <c r="O3" s="325"/>
      <c r="P3" s="325"/>
      <c r="Q3" s="325"/>
      <c r="R3" s="325"/>
      <c r="S3" s="325"/>
      <c r="T3" s="270"/>
      <c r="U3" s="270"/>
      <c r="V3" s="270"/>
      <c r="W3" s="270"/>
      <c r="X3" s="270"/>
      <c r="Y3" s="270"/>
      <c r="Z3" s="270"/>
      <c r="AA3" s="270"/>
      <c r="AB3" s="270"/>
      <c r="AC3" s="270"/>
      <c r="AD3" s="271"/>
      <c r="AE3" s="272"/>
      <c r="AF3" s="270"/>
      <c r="AG3" s="270"/>
      <c r="AH3" s="270"/>
      <c r="AI3" s="270"/>
      <c r="AJ3" s="270"/>
      <c r="AK3" s="579"/>
      <c r="AL3" s="580"/>
      <c r="AM3" s="580"/>
      <c r="AN3" s="580"/>
    </row>
    <row r="4" spans="1:41" ht="6.6" customHeight="1">
      <c r="A4" s="350"/>
      <c r="B4" s="350"/>
      <c r="C4" s="324"/>
      <c r="D4" s="324"/>
      <c r="E4" s="324"/>
      <c r="F4" s="324"/>
      <c r="G4" s="324"/>
      <c r="H4" s="324"/>
      <c r="I4" s="324"/>
      <c r="P4" s="716" t="str">
        <f>'Translate&amp;Prices&amp;Logo'!$B$169&amp;" "&amp;" "&amp;2</f>
        <v>Rámeček  2</v>
      </c>
      <c r="Q4" s="716"/>
      <c r="R4" s="716"/>
      <c r="S4" s="716"/>
      <c r="T4" s="716"/>
      <c r="U4" s="716"/>
      <c r="V4" s="716"/>
      <c r="W4" s="716"/>
      <c r="X4" s="716"/>
      <c r="Y4" s="716"/>
      <c r="Z4" s="716"/>
      <c r="AA4" s="716"/>
      <c r="AB4" s="716"/>
      <c r="AC4" s="716"/>
    </row>
    <row r="5" spans="1:41" ht="15" customHeight="1">
      <c r="A5" s="350"/>
      <c r="B5" s="350"/>
      <c r="C5" s="324"/>
      <c r="D5" s="324"/>
      <c r="E5" s="324"/>
      <c r="F5" s="324"/>
      <c r="G5" s="324"/>
      <c r="H5" s="324"/>
      <c r="I5" s="324"/>
      <c r="P5" s="716"/>
      <c r="Q5" s="716"/>
      <c r="R5" s="716"/>
      <c r="S5" s="716"/>
      <c r="T5" s="716"/>
      <c r="U5" s="716"/>
      <c r="V5" s="716"/>
      <c r="W5" s="716"/>
      <c r="X5" s="716"/>
      <c r="Y5" s="716"/>
      <c r="Z5" s="716"/>
      <c r="AA5" s="716"/>
      <c r="AB5" s="716"/>
      <c r="AC5" s="716"/>
    </row>
    <row r="6" spans="1:41" ht="15">
      <c r="A6" s="350"/>
      <c r="B6" s="350"/>
      <c r="C6" s="324"/>
      <c r="D6" s="324"/>
      <c r="E6" s="324"/>
      <c r="F6" s="324"/>
      <c r="G6" s="324"/>
      <c r="H6" s="324"/>
      <c r="I6" s="324"/>
      <c r="J6" s="324"/>
      <c r="K6" s="324"/>
      <c r="L6" s="324"/>
      <c r="M6" s="324"/>
      <c r="N6" s="324"/>
      <c r="O6" s="324"/>
      <c r="P6" s="324"/>
      <c r="Q6" s="324"/>
      <c r="R6" s="324"/>
      <c r="S6" s="324"/>
      <c r="T6" s="324"/>
      <c r="U6" s="324"/>
    </row>
    <row r="7" spans="1:41" ht="14.85" hidden="1" customHeight="1">
      <c r="A7" s="350"/>
      <c r="B7" s="350"/>
      <c r="D7" s="326"/>
      <c r="E7" s="326"/>
      <c r="F7" s="326"/>
      <c r="G7" s="326"/>
      <c r="H7" s="326"/>
      <c r="I7" s="326"/>
      <c r="J7" s="324"/>
      <c r="K7" s="324"/>
      <c r="L7" s="324"/>
    </row>
    <row r="8" spans="1:41" ht="14.85" customHeight="1" thickBot="1">
      <c r="A8" s="350"/>
      <c r="B8" s="350"/>
      <c r="C8" s="324"/>
      <c r="D8" s="324"/>
      <c r="E8" s="324"/>
      <c r="F8" s="324"/>
      <c r="G8" s="324"/>
      <c r="H8" s="324"/>
      <c r="I8" s="324"/>
      <c r="J8" s="324"/>
      <c r="K8" s="324"/>
      <c r="L8" s="324"/>
      <c r="M8" s="324"/>
      <c r="N8" s="324"/>
      <c r="O8" s="324"/>
      <c r="P8" s="717" t="str">
        <f>Ceny_n!$B$500</f>
        <v>Přejít na:</v>
      </c>
      <c r="Q8" s="717"/>
      <c r="R8" s="718" t="str">
        <f>'Translate&amp;Prices&amp;Logo'!$B$169&amp;" "&amp;" "&amp;1</f>
        <v>Rámeček  1</v>
      </c>
      <c r="S8" s="718"/>
      <c r="T8" s="718"/>
      <c r="U8" s="327"/>
      <c r="V8" s="718" t="str">
        <f>'Translate&amp;Prices&amp;Logo'!$B$169&amp;" "&amp;" "&amp;2</f>
        <v>Rámeček  2</v>
      </c>
      <c r="W8" s="718"/>
      <c r="X8" s="718"/>
      <c r="Y8" s="327"/>
      <c r="Z8" s="718" t="str">
        <f>'Translate&amp;Prices&amp;Logo'!$B$169&amp;" "&amp;" "&amp;3</f>
        <v>Rámeček  3</v>
      </c>
      <c r="AA8" s="718"/>
      <c r="AB8" s="718"/>
      <c r="AC8" s="327"/>
      <c r="AD8" s="718" t="str">
        <f>'Translate&amp;Prices&amp;Logo'!$B$169&amp;" "&amp;" "&amp;4</f>
        <v>Rámeček  4</v>
      </c>
      <c r="AE8" s="718"/>
      <c r="AF8" s="718"/>
      <c r="AG8" s="327"/>
      <c r="AH8" s="718" t="str">
        <f>'Translate&amp;Prices&amp;Logo'!$B$169&amp;" "&amp;" "&amp;5</f>
        <v>Rámeček  5</v>
      </c>
      <c r="AI8" s="718"/>
      <c r="AJ8" s="718"/>
      <c r="AK8" s="327"/>
      <c r="AL8" s="718" t="str">
        <f>'Translate&amp;Prices&amp;Logo'!$B$169&amp;" "&amp;" "&amp;6</f>
        <v>Rámeček  6</v>
      </c>
      <c r="AM8" s="718"/>
      <c r="AN8" s="718"/>
      <c r="AO8" s="327"/>
    </row>
    <row r="9" spans="1:41" ht="14.85" hidden="1" customHeight="1" thickTop="1">
      <c r="A9" s="324"/>
      <c r="B9" s="324"/>
    </row>
    <row r="10" spans="1:41" ht="15.75" thickTop="1">
      <c r="A10" s="1"/>
      <c r="B10" s="324"/>
      <c r="C10" s="324"/>
      <c r="D10" s="324"/>
      <c r="E10" s="324"/>
      <c r="F10" s="324"/>
      <c r="G10" s="324"/>
      <c r="H10" s="324"/>
      <c r="I10" s="324"/>
      <c r="J10" s="350"/>
      <c r="K10" s="350"/>
      <c r="L10" s="350"/>
      <c r="M10" s="352"/>
      <c r="N10" s="352"/>
      <c r="O10" s="352"/>
      <c r="P10" s="352"/>
      <c r="Q10" s="352"/>
      <c r="R10" s="352"/>
    </row>
    <row r="11" spans="1:41" ht="15.6" customHeight="1">
      <c r="A11" s="308"/>
      <c r="B11" s="339" t="e">
        <f>VLOOKUP(VLOOKUP(I15,'Translate&amp;Prices&amp;Logo'!B77:C671,2,0),'Translate&amp;Prices&amp;Logo'!B3:D587,3,0)</f>
        <v>#N/A</v>
      </c>
      <c r="C11" s="339" t="e">
        <f>VLOOKUP(VLOOKUP(I15,'Translate&amp;Prices&amp;Logo'!B77:D86,3,0),'Translate&amp;Prices&amp;Logo'!B:D,3,0)</f>
        <v>#N/A</v>
      </c>
      <c r="D11" s="308" t="e">
        <f>B11+C11</f>
        <v>#N/A</v>
      </c>
      <c r="E11" s="340"/>
      <c r="F11" s="308"/>
      <c r="G11" s="339"/>
      <c r="H11" s="339"/>
      <c r="I11" s="339"/>
      <c r="J11" s="339"/>
      <c r="K11" s="339"/>
      <c r="L11" s="339"/>
      <c r="M11" s="308"/>
      <c r="N11" s="308"/>
      <c r="O11" s="308"/>
      <c r="P11" s="308"/>
      <c r="Q11" s="308"/>
      <c r="R11" s="308"/>
      <c r="S11" s="308"/>
      <c r="T11" s="308"/>
      <c r="U11" s="308"/>
      <c r="V11" s="277"/>
      <c r="W11" s="278"/>
      <c r="X11" s="314"/>
      <c r="Y11" s="314"/>
      <c r="Z11" s="278"/>
      <c r="AA11" s="278"/>
      <c r="AB11" s="278"/>
      <c r="AC11" s="278"/>
      <c r="AD11" s="279"/>
      <c r="AE11" s="338"/>
      <c r="AF11" s="278"/>
      <c r="AG11" s="278"/>
      <c r="AH11" s="314"/>
      <c r="AI11" s="314"/>
      <c r="AJ11" s="278"/>
      <c r="AK11" s="280"/>
    </row>
    <row r="12" spans="1:41" ht="18.600000000000001" customHeight="1">
      <c r="A12" s="310"/>
      <c r="B12" s="339" t="s">
        <v>2296</v>
      </c>
      <c r="C12" s="324"/>
      <c r="D12" s="324"/>
      <c r="E12" s="324"/>
      <c r="F12" s="324"/>
      <c r="G12" s="324"/>
      <c r="H12" s="324"/>
      <c r="I12" s="324"/>
      <c r="J12" s="350"/>
      <c r="K12" s="350"/>
      <c r="L12" s="350"/>
      <c r="M12" s="352"/>
      <c r="N12" s="352"/>
      <c r="O12" s="352"/>
      <c r="P12" s="352"/>
      <c r="Q12" s="352"/>
      <c r="R12" s="352"/>
      <c r="S12" s="352"/>
      <c r="V12" s="286"/>
      <c r="W12" s="274"/>
      <c r="X12" s="275"/>
      <c r="Y12" s="275"/>
      <c r="Z12" s="275"/>
      <c r="AA12" s="275"/>
      <c r="AB12" s="303"/>
      <c r="AC12" s="303"/>
      <c r="AD12" s="304"/>
      <c r="AE12" s="721">
        <v>0</v>
      </c>
      <c r="AF12" s="275"/>
      <c r="AG12" s="275"/>
      <c r="AH12" s="275"/>
      <c r="AI12" s="275"/>
      <c r="AJ12" s="276"/>
      <c r="AK12" s="281"/>
    </row>
    <row r="13" spans="1:41" ht="15" customHeight="1">
      <c r="A13" s="309" t="s">
        <v>2303</v>
      </c>
      <c r="B13" s="309">
        <f>IFERROR(IF(kombinace_2!$H$1=TRUE,F14+D11,0),0)</f>
        <v>0</v>
      </c>
      <c r="C13" s="583" t="str">
        <f>'Translate&amp;Prices&amp;Logo'!$B$542</f>
        <v>Kombinace 2 profilů</v>
      </c>
      <c r="D13" s="583"/>
      <c r="E13" s="583"/>
      <c r="F13" s="583"/>
      <c r="G13" s="583"/>
      <c r="H13" s="321"/>
      <c r="I13" s="722" t="str">
        <f>'Translate&amp;Prices&amp;Logo'!$B$561</f>
        <v>Rámeček složený ze dvou různých profilů</v>
      </c>
      <c r="J13" s="722"/>
      <c r="K13" s="722"/>
      <c r="L13" s="722"/>
      <c r="M13" s="722"/>
      <c r="N13" s="722"/>
      <c r="O13" s="722"/>
      <c r="P13" s="722"/>
      <c r="Q13" s="722"/>
      <c r="R13" s="722"/>
      <c r="S13" s="309"/>
      <c r="T13" s="308"/>
      <c r="U13" s="308"/>
      <c r="V13" s="301"/>
      <c r="X13" s="723" t="str">
        <f>'Translate&amp;Prices&amp;Logo'!$B$242</f>
        <v>Vzdálenost od okraje</v>
      </c>
      <c r="Y13" s="723"/>
      <c r="Z13" s="723"/>
      <c r="AA13" s="723"/>
      <c r="AB13" s="723"/>
      <c r="AE13" s="721"/>
      <c r="AK13" s="301"/>
    </row>
    <row r="14" spans="1:41" ht="18.600000000000001" customHeight="1">
      <c r="A14" s="309"/>
      <c r="B14" s="339" t="e">
        <f>VLOOKUP(VLOOKUP(I15,'Translate&amp;Prices&amp;Logo'!B77:C86,2,0),'Translate&amp;Prices&amp;Logo'!B6:C590,2,0)</f>
        <v>#N/A</v>
      </c>
      <c r="C14" s="339" t="e">
        <f>VLOOKUP(VLOOKUP(I15,'Translate&amp;Prices&amp;Logo'!B77:D86,3,0),'Translate&amp;Prices&amp;Logo'!B6:D63,2,0)</f>
        <v>#N/A</v>
      </c>
      <c r="D14" s="308" t="e">
        <f>((AM19/1000)*2)*B14</f>
        <v>#N/A</v>
      </c>
      <c r="E14" s="340" t="e">
        <f>((AD35/1000)*2)*C14</f>
        <v>#N/A</v>
      </c>
      <c r="F14" s="340" t="e">
        <f>D14+E14</f>
        <v>#N/A</v>
      </c>
      <c r="G14" s="308"/>
      <c r="H14" s="308"/>
      <c r="I14" s="308"/>
      <c r="J14" s="308"/>
      <c r="K14" s="308"/>
      <c r="L14" s="308"/>
      <c r="M14" s="308"/>
      <c r="N14" s="308"/>
      <c r="O14" s="308"/>
      <c r="P14" s="308"/>
      <c r="Q14" s="308"/>
      <c r="R14" s="308"/>
      <c r="S14" s="308"/>
      <c r="T14" s="308"/>
      <c r="U14" s="308"/>
      <c r="V14" s="311"/>
      <c r="X14" s="724">
        <v>0</v>
      </c>
      <c r="Y14" s="724"/>
      <c r="Z14" s="309"/>
      <c r="AA14" s="725" t="str">
        <f>('Translate&amp;Prices&amp;Logo'!$B$548)&amp;" "&amp;I41&amp;" "&amp;"mm"</f>
        <v>Rozteč  mm</v>
      </c>
      <c r="AB14" s="725"/>
      <c r="AC14" s="725"/>
      <c r="AD14" s="725"/>
      <c r="AE14" s="725"/>
      <c r="AF14" s="725"/>
      <c r="AK14" s="311"/>
    </row>
    <row r="15" spans="1:41" ht="15" customHeight="1">
      <c r="A15" s="309" t="s">
        <v>38</v>
      </c>
      <c r="B15" s="309">
        <f>IFERROR((((AD35/1000)+(AM19/1000))*2)*(VLOOKUP(I15,'Translate&amp;Prices&amp;Logo'!B6:C84,2,0))+(VLOOKUP(I15,'Translate&amp;Prices&amp;Logo'!B6:D84,3,0)),0)</f>
        <v>2637.2918363999997</v>
      </c>
      <c r="C15" s="583" t="str">
        <f>'Translate&amp;Prices&amp;Logo'!$B$172</f>
        <v>Typ profilu</v>
      </c>
      <c r="D15" s="583"/>
      <c r="E15" s="583"/>
      <c r="F15" s="583"/>
      <c r="G15" s="583"/>
      <c r="H15" s="321"/>
      <c r="I15" s="720" t="s">
        <v>984</v>
      </c>
      <c r="J15" s="720"/>
      <c r="K15" s="720"/>
      <c r="L15" s="720"/>
      <c r="M15" s="720"/>
      <c r="N15" s="720"/>
      <c r="O15" s="720"/>
      <c r="P15" s="720"/>
      <c r="Q15" s="720"/>
      <c r="R15" s="720"/>
      <c r="S15" s="309">
        <f>VLOOKUP(I15,kombinace_2!$A:$B,2,0)</f>
        <v>1</v>
      </c>
      <c r="T15" s="308" t="str">
        <f>IF(S15=2,"Široký","Úzký")</f>
        <v>Úzký</v>
      </c>
      <c r="U15" s="308"/>
      <c r="V15" s="311"/>
      <c r="Y15" s="637">
        <v>0</v>
      </c>
      <c r="Z15" s="719" t="str">
        <f>'Translate&amp;Prices&amp;Logo'!$B$242</f>
        <v>Vzdálenost od okraje</v>
      </c>
      <c r="AK15" s="311"/>
    </row>
    <row r="16" spans="1:41" ht="18.600000000000001" customHeight="1">
      <c r="A16" s="309"/>
      <c r="B16" s="310"/>
      <c r="S16" s="308"/>
      <c r="T16" s="308"/>
      <c r="U16" s="308"/>
      <c r="V16" s="312"/>
      <c r="W16" s="80"/>
      <c r="Y16" s="637"/>
      <c r="Z16" s="719"/>
      <c r="AJ16" s="76"/>
      <c r="AK16" s="281"/>
    </row>
    <row r="17" spans="1:39" ht="15" customHeight="1">
      <c r="A17" s="309" t="s">
        <v>1986</v>
      </c>
      <c r="B17" s="309">
        <f>((I20+N20)*2)*'Translate&amp;Prices&amp;Logo'!C97</f>
        <v>0</v>
      </c>
      <c r="C17" s="583" t="str">
        <f>IFERROR(IF(VLOOKUP(I15,kombinace_2!$A:$D,4,0)=1,'Translate&amp;Prices&amp;Logo'!$B$543,0),0)</f>
        <v>Dělící lišty</v>
      </c>
      <c r="D17" s="583"/>
      <c r="E17" s="583"/>
      <c r="F17" s="583"/>
      <c r="G17" s="583"/>
      <c r="H17" s="321"/>
      <c r="I17" s="720" t="s">
        <v>2277</v>
      </c>
      <c r="J17" s="720"/>
      <c r="K17" s="720"/>
      <c r="L17" s="720"/>
      <c r="M17" s="720"/>
      <c r="N17" s="720"/>
      <c r="O17" s="720"/>
      <c r="P17" s="720"/>
      <c r="Q17" s="720"/>
      <c r="R17" s="720"/>
      <c r="S17" s="309">
        <f>VLOOKUP(I21,kombinace_2!$DP:$DQ,2,0)</f>
        <v>2</v>
      </c>
      <c r="T17" s="308"/>
      <c r="U17" s="308"/>
      <c r="V17" s="312"/>
      <c r="W17" s="80"/>
      <c r="Y17" s="637"/>
      <c r="Z17" s="719"/>
      <c r="AJ17" s="76"/>
      <c r="AK17" s="281"/>
    </row>
    <row r="18" spans="1:39" ht="18.600000000000001" customHeight="1">
      <c r="A18" s="309"/>
      <c r="B18" s="309"/>
      <c r="I18" s="728" t="str">
        <f>kombinace_2!$BY$14</f>
        <v>Vertikálně</v>
      </c>
      <c r="J18" s="728"/>
      <c r="K18" s="728"/>
      <c r="L18" s="728"/>
      <c r="M18" s="728"/>
      <c r="N18" s="728" t="str">
        <f>kombinace_2!$BY$15</f>
        <v>Horizontálně i Vertikálně</v>
      </c>
      <c r="O18" s="728"/>
      <c r="P18" s="728"/>
      <c r="Q18" s="728"/>
      <c r="R18" s="728"/>
      <c r="S18" s="308">
        <f>IFERROR(VLOOKUP(I17,kombinace_2!$BY$13:$BZ$16,2,0),0)</f>
        <v>3</v>
      </c>
      <c r="T18" s="308"/>
      <c r="U18" s="308"/>
      <c r="V18" s="312"/>
      <c r="W18" s="80"/>
      <c r="Y18" s="309"/>
      <c r="Z18" s="719"/>
      <c r="AJ18" s="76"/>
      <c r="AK18" s="281"/>
    </row>
    <row r="19" spans="1:39" ht="15" customHeight="1">
      <c r="A19" s="309" t="s">
        <v>1986</v>
      </c>
      <c r="B19" s="309">
        <f>IF(S18=1,I20*'Translate&amp;Prices&amp;Logo'!C55,IF(S18=2,N20*'Translate&amp;Prices&amp;Logo'!C55,IF(S18=3,(I20+N20)*'Translate&amp;Prices&amp;Logo'!C55,IF(S18=0,0))))</f>
        <v>0</v>
      </c>
      <c r="C19" s="583" t="str">
        <f>('Translate&amp;Prices&amp;Logo'!$B$543)&amp;" "&amp;"("&amp;'Translate&amp;Prices&amp;Logo'!$B$174&amp;")"</f>
        <v>Dělící lišty (Počet kusů)</v>
      </c>
      <c r="D19" s="583"/>
      <c r="E19" s="583"/>
      <c r="F19" s="583"/>
      <c r="G19" s="583"/>
      <c r="H19" s="321"/>
      <c r="I19" s="732"/>
      <c r="J19" s="732"/>
      <c r="K19" s="732"/>
      <c r="L19" s="732"/>
      <c r="M19" s="732"/>
      <c r="N19" s="732"/>
      <c r="O19" s="732"/>
      <c r="P19" s="732"/>
      <c r="Q19" s="732"/>
      <c r="R19" s="732"/>
      <c r="S19" s="309"/>
      <c r="T19" s="308"/>
      <c r="U19" s="308"/>
      <c r="V19" s="312"/>
      <c r="W19" s="80"/>
      <c r="Y19" s="646" t="str">
        <f>('Translate&amp;Prices&amp;Logo'!$B$548)&amp;" "&amp;I41&amp;" "&amp;"mm"</f>
        <v>Rozteč  mm</v>
      </c>
      <c r="Z19" s="719"/>
      <c r="AH19" s="667" t="str">
        <f>('Translate&amp;Prices&amp;Logo'!$B$548)&amp;" "&amp;I41&amp;" "&amp;"mm"</f>
        <v>Rozteč  mm</v>
      </c>
      <c r="AJ19" s="305"/>
      <c r="AK19" s="281"/>
      <c r="AM19" s="624">
        <v>2100</v>
      </c>
    </row>
    <row r="20" spans="1:39" ht="18.600000000000001" customHeight="1">
      <c r="A20" s="309"/>
      <c r="B20" s="309"/>
      <c r="I20" s="734">
        <f>(AD35/1000)*I19</f>
        <v>0</v>
      </c>
      <c r="J20" s="734"/>
      <c r="K20" s="734"/>
      <c r="L20" s="734"/>
      <c r="M20" s="734"/>
      <c r="N20" s="734">
        <f>(AM19/1000)*N19</f>
        <v>0</v>
      </c>
      <c r="O20" s="734"/>
      <c r="P20" s="734"/>
      <c r="Q20" s="734"/>
      <c r="R20" s="734"/>
      <c r="S20" s="308"/>
      <c r="T20" s="308"/>
      <c r="U20" s="308"/>
      <c r="V20" s="312"/>
      <c r="W20" s="302"/>
      <c r="Y20" s="646"/>
      <c r="Z20" s="719"/>
      <c r="AH20" s="667"/>
      <c r="AJ20" s="305"/>
      <c r="AK20" s="281"/>
      <c r="AM20" s="624"/>
    </row>
    <row r="21" spans="1:39" ht="15" customHeight="1">
      <c r="A21" s="309" t="s">
        <v>2302</v>
      </c>
      <c r="B21" s="309"/>
      <c r="C21" s="583" t="str">
        <f>'Translate&amp;Prices&amp;Logo'!$B$258</f>
        <v>Typ kování</v>
      </c>
      <c r="D21" s="583"/>
      <c r="E21" s="583"/>
      <c r="F21" s="583"/>
      <c r="G21" s="583"/>
      <c r="H21" s="321"/>
      <c r="I21" s="720" t="s">
        <v>728</v>
      </c>
      <c r="J21" s="720"/>
      <c r="K21" s="720"/>
      <c r="L21" s="720"/>
      <c r="M21" s="720"/>
      <c r="N21" s="720"/>
      <c r="O21" s="720"/>
      <c r="P21" s="720"/>
      <c r="Q21" s="720"/>
      <c r="R21" s="720"/>
      <c r="S21" s="309"/>
      <c r="T21" s="308"/>
      <c r="U21" s="308"/>
      <c r="V21" s="312"/>
      <c r="W21" s="302"/>
      <c r="Y21" s="646"/>
      <c r="Z21" s="719"/>
      <c r="AH21" s="667"/>
      <c r="AJ21" s="305"/>
      <c r="AK21" s="281"/>
      <c r="AM21" s="624"/>
    </row>
    <row r="22" spans="1:39" ht="18.600000000000001" customHeight="1">
      <c r="A22" s="309"/>
      <c r="B22" s="309"/>
      <c r="S22" s="308"/>
      <c r="T22" s="308"/>
      <c r="U22" s="308"/>
      <c r="V22" s="312"/>
      <c r="W22" s="302"/>
      <c r="Y22" s="646"/>
      <c r="AH22" s="667"/>
      <c r="AJ22" s="305"/>
      <c r="AK22" s="281"/>
      <c r="AM22" s="624"/>
    </row>
    <row r="23" spans="1:39" ht="15" customHeight="1">
      <c r="A23" s="309" t="s">
        <v>2301</v>
      </c>
      <c r="B23" s="309"/>
      <c r="C23" s="583" t="str">
        <f>'Translate&amp;Prices&amp;Logo'!$B$544</f>
        <v>Značka kování</v>
      </c>
      <c r="D23" s="583"/>
      <c r="E23" s="583"/>
      <c r="F23" s="583"/>
      <c r="G23" s="583"/>
      <c r="H23" s="321"/>
      <c r="I23" s="720" t="s">
        <v>1014</v>
      </c>
      <c r="J23" s="720"/>
      <c r="K23" s="720"/>
      <c r="L23" s="720"/>
      <c r="M23" s="720"/>
      <c r="N23" s="720"/>
      <c r="O23" s="720"/>
      <c r="P23" s="720"/>
      <c r="Q23" s="720"/>
      <c r="R23" s="720"/>
      <c r="S23" s="309"/>
      <c r="T23" s="308"/>
      <c r="U23" s="308"/>
      <c r="V23" s="312"/>
      <c r="W23" s="302"/>
      <c r="Y23" s="646"/>
      <c r="AH23" s="667"/>
      <c r="AJ23" s="305"/>
      <c r="AK23" s="281"/>
      <c r="AM23" s="624"/>
    </row>
    <row r="24" spans="1:39" ht="18.600000000000001" customHeight="1">
      <c r="A24" s="309"/>
      <c r="B24" s="309"/>
      <c r="I24" s="735"/>
      <c r="J24" s="735"/>
      <c r="K24" s="735"/>
      <c r="L24" s="735"/>
      <c r="M24" s="735"/>
      <c r="N24" s="735"/>
      <c r="O24" s="735"/>
      <c r="P24" s="735"/>
      <c r="Q24" s="735"/>
      <c r="R24" s="735"/>
      <c r="S24" s="308"/>
      <c r="T24" s="308"/>
      <c r="U24" s="308"/>
      <c r="V24" s="311"/>
      <c r="W24" s="689">
        <v>0</v>
      </c>
      <c r="X24" s="689"/>
      <c r="Y24" s="646"/>
      <c r="AG24" s="737" t="str">
        <f>'Translate&amp;Prices&amp;Logo'!$B$242</f>
        <v>Vzdálenost od okraje</v>
      </c>
      <c r="AH24" s="667"/>
      <c r="AI24" s="689">
        <v>0</v>
      </c>
      <c r="AJ24" s="689"/>
      <c r="AK24" s="301"/>
      <c r="AM24" s="733" t="str">
        <f>'Translate&amp;Prices&amp;Logo'!$B$176</f>
        <v>Výška</v>
      </c>
    </row>
    <row r="25" spans="1:39" ht="15" customHeight="1">
      <c r="A25" s="309" t="s">
        <v>728</v>
      </c>
      <c r="B25" s="309"/>
      <c r="C25" s="729" t="str">
        <f>IFERROR(IF(I21='Translate&amp;Prices&amp;Logo'!B551,'Translate&amp;Prices&amp;Logo'!$B$546,0),0)</f>
        <v>Naložení</v>
      </c>
      <c r="D25" s="729"/>
      <c r="E25" s="729"/>
      <c r="F25" s="729"/>
      <c r="G25" s="729"/>
      <c r="H25" s="320"/>
      <c r="I25" s="731" t="s">
        <v>125</v>
      </c>
      <c r="J25" s="731"/>
      <c r="K25" s="731"/>
      <c r="L25" s="731"/>
      <c r="M25" s="731"/>
      <c r="N25" s="731"/>
      <c r="O25" s="731"/>
      <c r="P25" s="731"/>
      <c r="Q25" s="731"/>
      <c r="R25" s="731"/>
      <c r="S25" s="309">
        <f>VLOOKUP(I31,kombinace_2!$BY:$BZ,2,0)</f>
        <v>1</v>
      </c>
      <c r="U25" s="308"/>
      <c r="V25" s="312"/>
      <c r="W25" s="80"/>
      <c r="Y25" s="646"/>
      <c r="AG25" s="737"/>
      <c r="AH25" s="667"/>
      <c r="AJ25" s="305"/>
      <c r="AK25" s="281"/>
      <c r="AM25" s="733"/>
    </row>
    <row r="26" spans="1:39" ht="18.600000000000001" customHeight="1">
      <c r="A26" s="309"/>
      <c r="B26" s="309"/>
      <c r="S26" s="308"/>
      <c r="T26" s="308"/>
      <c r="U26" s="308"/>
      <c r="V26" s="312"/>
      <c r="W26" s="80"/>
      <c r="Y26" s="646"/>
      <c r="AG26" s="737"/>
      <c r="AH26" s="667"/>
      <c r="AJ26" s="76"/>
      <c r="AK26" s="281"/>
      <c r="AM26" s="733"/>
    </row>
    <row r="27" spans="1:39" ht="15" customHeight="1">
      <c r="A27" s="309" t="s">
        <v>2297</v>
      </c>
      <c r="B27" s="309"/>
      <c r="C27" s="583" t="str">
        <f>'Translate&amp;Prices&amp;Logo'!$B$545</f>
        <v>Varianta kování</v>
      </c>
      <c r="D27" s="583"/>
      <c r="E27" s="583"/>
      <c r="F27" s="583"/>
      <c r="G27" s="583"/>
      <c r="H27" s="321"/>
      <c r="I27" s="720" t="s">
        <v>2512</v>
      </c>
      <c r="J27" s="720"/>
      <c r="K27" s="720"/>
      <c r="L27" s="720"/>
      <c r="M27" s="720"/>
      <c r="N27" s="720"/>
      <c r="O27" s="720"/>
      <c r="P27" s="720"/>
      <c r="Q27" s="720"/>
      <c r="R27" s="720"/>
      <c r="S27" s="309">
        <f>IFERROR(VLOOKUP(I27,kombinace_1!$CD:$CF,3,0),0)</f>
        <v>0</v>
      </c>
      <c r="T27" s="308"/>
      <c r="U27" s="308"/>
      <c r="V27" s="312"/>
      <c r="W27" s="80"/>
      <c r="AG27" s="737"/>
      <c r="AH27" s="309"/>
      <c r="AJ27" s="76"/>
      <c r="AK27" s="281"/>
      <c r="AM27" s="733"/>
    </row>
    <row r="28" spans="1:39" ht="18.600000000000001" customHeight="1">
      <c r="A28" s="309"/>
      <c r="B28" s="309"/>
      <c r="C28" s="738" t="str">
        <f>'Translate&amp;Prices&amp;Logo'!$B$218</f>
        <v>Výběr pozice rámečku</v>
      </c>
      <c r="D28" s="738"/>
      <c r="E28" s="738"/>
      <c r="F28" s="738"/>
      <c r="G28" s="739"/>
      <c r="H28" s="739"/>
      <c r="I28" s="739"/>
      <c r="J28" s="739"/>
      <c r="K28" s="738" t="str">
        <f>'Translate&amp;Prices&amp;Logo'!$B$232</f>
        <v>Provedení druhého dvířka</v>
      </c>
      <c r="L28" s="738"/>
      <c r="M28" s="738"/>
      <c r="N28" s="738"/>
      <c r="O28" s="739"/>
      <c r="P28" s="739"/>
      <c r="Q28" s="739"/>
      <c r="R28" s="739"/>
      <c r="S28" s="308"/>
      <c r="T28" s="308"/>
      <c r="U28" s="308"/>
      <c r="V28" s="312"/>
      <c r="W28" s="80"/>
      <c r="AG28" s="737"/>
      <c r="AH28" s="666">
        <v>0</v>
      </c>
      <c r="AJ28" s="76"/>
      <c r="AK28" s="281"/>
      <c r="AM28" s="733"/>
    </row>
    <row r="29" spans="1:39" ht="15" customHeight="1">
      <c r="A29" s="309" t="s">
        <v>2298</v>
      </c>
      <c r="B29" s="309"/>
      <c r="C29" s="583">
        <f>IFERROR(IF(VLOOKUP(I27,kombinace_2!CD:CE,2,0)=1,'Translate&amp;Prices&amp;Logo'!$B$547,0),0)</f>
        <v>0</v>
      </c>
      <c r="D29" s="583"/>
      <c r="E29" s="583"/>
      <c r="F29" s="583"/>
      <c r="G29" s="583"/>
      <c r="H29" s="321"/>
      <c r="I29" s="720"/>
      <c r="J29" s="720"/>
      <c r="K29" s="720"/>
      <c r="L29" s="720"/>
      <c r="M29" s="720"/>
      <c r="N29" s="720"/>
      <c r="O29" s="720"/>
      <c r="P29" s="720"/>
      <c r="Q29" s="720"/>
      <c r="R29" s="720"/>
      <c r="S29" s="309"/>
      <c r="T29" s="308"/>
      <c r="U29" s="308"/>
      <c r="V29" s="312"/>
      <c r="W29" s="80"/>
      <c r="X29" s="723" t="str">
        <f>'Translate&amp;Prices&amp;Logo'!$B$242</f>
        <v>Vzdálenost od okraje</v>
      </c>
      <c r="Y29" s="723"/>
      <c r="Z29" s="723"/>
      <c r="AA29" s="723"/>
      <c r="AB29" s="723"/>
      <c r="AG29" s="737"/>
      <c r="AH29" s="666"/>
      <c r="AJ29" s="76"/>
      <c r="AK29" s="313"/>
    </row>
    <row r="30" spans="1:39" ht="18.600000000000001" customHeight="1">
      <c r="A30" s="309"/>
      <c r="B30" s="309"/>
      <c r="S30" s="308"/>
      <c r="T30" s="308"/>
      <c r="U30" s="308"/>
      <c r="V30" s="312"/>
      <c r="W30" s="80"/>
      <c r="X30" s="736">
        <v>0</v>
      </c>
      <c r="Y30" s="736"/>
      <c r="Z30" s="309"/>
      <c r="AA30" s="725" t="str">
        <f>('Translate&amp;Prices&amp;Logo'!$B$548)&amp;" "&amp;I41&amp;" "&amp;"mm"</f>
        <v>Rozteč  mm</v>
      </c>
      <c r="AB30" s="725"/>
      <c r="AC30" s="725"/>
      <c r="AD30" s="725"/>
      <c r="AE30" s="725"/>
      <c r="AF30" s="725"/>
      <c r="AG30" s="737"/>
      <c r="AH30" s="666"/>
      <c r="AJ30" s="76"/>
      <c r="AK30" s="313"/>
    </row>
    <row r="31" spans="1:39" ht="15" customHeight="1">
      <c r="A31" s="309" t="s">
        <v>2299</v>
      </c>
      <c r="B31" s="309"/>
      <c r="C31" s="730" t="str">
        <f>IFERROR(IF(I21='Translate&amp;Prices&amp;Logo'!B551,'Translate&amp;Prices&amp;Logo'!$B$238,IF(VLOOKUP(I27,kombinace_1!CD:CE,2,0)=1,0)),0)</f>
        <v>Umístění závěsů</v>
      </c>
      <c r="D31" s="730"/>
      <c r="E31" s="730"/>
      <c r="F31" s="730"/>
      <c r="G31" s="730"/>
      <c r="H31" s="322"/>
      <c r="I31" s="731" t="s">
        <v>241</v>
      </c>
      <c r="J31" s="731"/>
      <c r="K31" s="731"/>
      <c r="L31" s="731"/>
      <c r="M31" s="731"/>
      <c r="N31" s="731"/>
      <c r="O31" s="731"/>
      <c r="P31" s="731"/>
      <c r="Q31" s="731"/>
      <c r="R31" s="731"/>
      <c r="S31" s="309">
        <f>VLOOKUP(I31,kombinace_2!$BY:$BZ,2,0)</f>
        <v>1</v>
      </c>
      <c r="T31" s="308"/>
      <c r="U31" s="308"/>
      <c r="V31" s="312"/>
      <c r="W31" s="80"/>
      <c r="AE31" s="740">
        <v>0</v>
      </c>
      <c r="AJ31" s="76"/>
      <c r="AK31" s="281"/>
    </row>
    <row r="32" spans="1:39" ht="18.600000000000001" customHeight="1">
      <c r="A32" s="309"/>
      <c r="B32" s="309"/>
      <c r="C32" s="738"/>
      <c r="D32" s="738"/>
      <c r="E32" s="738"/>
      <c r="F32" s="738"/>
      <c r="G32" s="739"/>
      <c r="H32" s="739"/>
      <c r="I32" s="739"/>
      <c r="J32" s="739"/>
      <c r="K32" s="738"/>
      <c r="L32" s="738"/>
      <c r="M32" s="738"/>
      <c r="N32" s="738"/>
      <c r="O32" s="739"/>
      <c r="P32" s="739"/>
      <c r="Q32" s="739"/>
      <c r="R32" s="739"/>
      <c r="S32" s="308" t="str">
        <f>CONCATENATE(S31,"_",I33)</f>
        <v>1_</v>
      </c>
      <c r="T32" s="308"/>
      <c r="U32" s="308"/>
      <c r="V32" s="286"/>
      <c r="W32" s="81"/>
      <c r="X32" s="82"/>
      <c r="Y32" s="82"/>
      <c r="Z32" s="82"/>
      <c r="AA32" s="82"/>
      <c r="AB32" s="82"/>
      <c r="AC32" s="306"/>
      <c r="AD32" s="307"/>
      <c r="AE32" s="740"/>
      <c r="AF32" s="82"/>
      <c r="AG32" s="82"/>
      <c r="AH32" s="82"/>
      <c r="AI32" s="82"/>
      <c r="AJ32" s="84"/>
      <c r="AK32" s="281"/>
    </row>
    <row r="33" spans="1:37" ht="15" customHeight="1">
      <c r="A33" s="309" t="s">
        <v>2300</v>
      </c>
      <c r="B33" s="309"/>
      <c r="C33" s="729" t="str">
        <f>IFERROR(IF(I21='Translate&amp;Prices&amp;Logo'!B551,'Translate&amp;Prices&amp;Logo'!$B$223,IF(VLOOKUP(I27,kombinace_2!CD:CE,2,0)=1,'Translate&amp;Prices&amp;Logo'!$B$223,)),0)</f>
        <v>Počet závěsů na 1 rámeček</v>
      </c>
      <c r="D33" s="729"/>
      <c r="E33" s="729"/>
      <c r="F33" s="729"/>
      <c r="G33" s="729"/>
      <c r="H33" s="322"/>
      <c r="I33" s="731"/>
      <c r="J33" s="731"/>
      <c r="K33" s="731"/>
      <c r="L33" s="731"/>
      <c r="M33" s="731"/>
      <c r="N33" s="731"/>
      <c r="O33" s="731"/>
      <c r="P33" s="731"/>
      <c r="Q33" s="731"/>
      <c r="R33" s="731"/>
      <c r="S33" s="309" t="e">
        <f>VLOOKUP(I43,kombinace_2!$BY:$BZ,2,0)</f>
        <v>#N/A</v>
      </c>
      <c r="T33" s="308"/>
      <c r="U33" s="308"/>
      <c r="V33" s="283"/>
      <c r="W33" s="284"/>
      <c r="X33" s="315"/>
      <c r="Y33" s="315"/>
      <c r="Z33" s="284"/>
      <c r="AA33" s="284"/>
      <c r="AB33" s="284"/>
      <c r="AC33" s="284"/>
      <c r="AD33" s="285"/>
      <c r="AE33" s="338"/>
      <c r="AF33" s="284"/>
      <c r="AG33" s="284"/>
      <c r="AH33" s="315"/>
      <c r="AI33" s="315"/>
      <c r="AJ33" s="284"/>
      <c r="AK33" s="282"/>
    </row>
    <row r="34" spans="1:37" ht="18.600000000000001" customHeight="1">
      <c r="A34" s="309"/>
      <c r="B34" s="309"/>
      <c r="C34" s="726" t="str">
        <f>IFERROR('Translate&amp;Prices&amp;Logo'!$B$242&amp;" "&amp;(VLOOKUP(I31,kombinace_1!$BY$32:$CA$35,2,0)),0)</f>
        <v>Vzdálenost od okraje (spodního)</v>
      </c>
      <c r="D34" s="726"/>
      <c r="E34" s="726"/>
      <c r="F34" s="726"/>
      <c r="G34" s="727">
        <v>100</v>
      </c>
      <c r="H34" s="727"/>
      <c r="I34" s="727"/>
      <c r="J34" s="727"/>
      <c r="K34" s="726" t="str">
        <f>IFERROR('Translate&amp;Prices&amp;Logo'!$B$242&amp;" "&amp;(VLOOKUP(I31,kombinace_1!$BY$32:$CA$35,3,0)),0)</f>
        <v>Vzdálenost od okraje (horního)</v>
      </c>
      <c r="L34" s="726"/>
      <c r="M34" s="726"/>
      <c r="N34" s="726"/>
      <c r="O34" s="727">
        <v>100</v>
      </c>
      <c r="P34" s="727"/>
      <c r="Q34" s="727"/>
      <c r="R34" s="727"/>
      <c r="S34" s="308"/>
      <c r="T34" s="308"/>
      <c r="U34" s="308"/>
      <c r="V34" s="308" t="str">
        <f>VLOOKUP(I25,kombinace_2!$DN$7:$DO$18,2,0)</f>
        <v>Naložený</v>
      </c>
    </row>
    <row r="35" spans="1:37" ht="15" customHeight="1">
      <c r="A35" s="309" t="s">
        <v>2304</v>
      </c>
      <c r="B35" s="309">
        <f>IF(kombinace_2!V1=2,((AM19/1000)*(AD35/1000))*'Translate&amp;Prices&amp;Logo'!C94,0)</f>
        <v>0</v>
      </c>
      <c r="C35" s="583" t="str">
        <f>'Translate&amp;Prices&amp;Logo'!$B$173</f>
        <v>Typ úpravy skla</v>
      </c>
      <c r="D35" s="583"/>
      <c r="E35" s="583"/>
      <c r="F35" s="583"/>
      <c r="G35" s="583"/>
      <c r="H35" s="321"/>
      <c r="I35" s="751" t="str">
        <f>'Translate&amp;Prices&amp;Logo'!$B$100</f>
        <v>Příslušenství u broušení 1x</v>
      </c>
      <c r="J35" s="751"/>
      <c r="K35" s="751"/>
      <c r="L35" s="751" t="str">
        <f>'Translate&amp;Prices&amp;Logo'!$B$101</f>
        <v>Montáž okének - předěly za ks</v>
      </c>
      <c r="M35" s="751"/>
      <c r="N35" s="751"/>
      <c r="O35" s="751" t="str">
        <f>'Translate&amp;Prices&amp;Logo'!$B$102</f>
        <v>Folie</v>
      </c>
      <c r="P35" s="751"/>
      <c r="Q35" s="751"/>
      <c r="R35" s="297"/>
      <c r="S35" s="309"/>
      <c r="T35" s="308"/>
      <c r="U35" s="308"/>
      <c r="AA35" s="752" t="str">
        <f>'Translate&amp;Prices&amp;Logo'!$B$175</f>
        <v xml:space="preserve">Šířka </v>
      </c>
      <c r="AB35" s="752"/>
      <c r="AC35" s="752"/>
      <c r="AD35" s="695">
        <v>1200</v>
      </c>
      <c r="AE35" s="695"/>
      <c r="AF35" s="695"/>
    </row>
    <row r="36" spans="1:37" s="287" customFormat="1" ht="18.600000000000001" customHeight="1">
      <c r="A36" s="341"/>
      <c r="B36" s="341"/>
      <c r="C36" s="1"/>
      <c r="D36" s="1"/>
      <c r="E36" s="1"/>
      <c r="F36" s="1"/>
      <c r="G36" s="1"/>
      <c r="H36" s="1"/>
      <c r="I36" s="758" t="str">
        <f>"↥↥"&amp;"   "&amp;'Translate&amp;Prices&amp;Logo'!$B$573&amp;" "&amp;C39&amp;"   "&amp;"↥↥"</f>
        <v>↥↥   Již neměnit po tom co vyberete Typ úpravy skla   ↥↥</v>
      </c>
      <c r="J36" s="758"/>
      <c r="K36" s="758"/>
      <c r="L36" s="758"/>
      <c r="M36" s="758"/>
      <c r="N36" s="758"/>
      <c r="O36" s="758"/>
      <c r="P36" s="758"/>
      <c r="Q36" s="758"/>
      <c r="R36" s="758"/>
      <c r="S36" s="328"/>
      <c r="T36" s="328"/>
      <c r="U36" s="328"/>
      <c r="AD36" s="223"/>
      <c r="AE36" s="157"/>
    </row>
    <row r="37" spans="1:37" ht="15" customHeight="1">
      <c r="A37" s="309"/>
      <c r="B37" s="309">
        <f>IFERROR(((VLOOKUP(I37,'Translate&amp;Prices&amp;Logo'!B91:C93,2,0))*(AM19/1000)),0)</f>
        <v>0</v>
      </c>
      <c r="C37" s="583" t="str">
        <f>'Translate&amp;Prices&amp;Logo'!$B$562</f>
        <v>Typ folie</v>
      </c>
      <c r="D37" s="583"/>
      <c r="E37" s="583"/>
      <c r="F37" s="583"/>
      <c r="G37" s="583"/>
      <c r="H37" s="321"/>
      <c r="I37" s="720"/>
      <c r="J37" s="720"/>
      <c r="K37" s="720"/>
      <c r="L37" s="720"/>
      <c r="M37" s="720"/>
      <c r="N37" s="720"/>
      <c r="O37" s="720"/>
      <c r="P37" s="720"/>
      <c r="Q37" s="720"/>
      <c r="R37" s="720"/>
      <c r="S37" s="309"/>
      <c r="T37" s="308"/>
      <c r="U37" s="308"/>
      <c r="V37" s="676" t="str">
        <f>'Translate&amp;Prices&amp;Logo'!$B$572</f>
        <v>Upozornění</v>
      </c>
      <c r="W37" s="676"/>
      <c r="X37" s="676"/>
    </row>
    <row r="38" spans="1:37" s="287" customFormat="1" ht="18.600000000000001" customHeight="1">
      <c r="A38" s="341"/>
      <c r="B38" s="341"/>
      <c r="C38" s="1"/>
      <c r="D38" s="1"/>
      <c r="E38" s="1"/>
      <c r="F38" s="1"/>
      <c r="G38" s="1"/>
      <c r="H38" s="1"/>
      <c r="I38" s="1"/>
      <c r="J38" s="1"/>
      <c r="K38" s="1"/>
      <c r="L38" s="1"/>
      <c r="M38" s="1"/>
      <c r="N38" s="1"/>
      <c r="O38" s="1"/>
      <c r="P38" s="1"/>
      <c r="Q38" s="1"/>
      <c r="R38" s="1"/>
      <c r="S38" s="328"/>
      <c r="T38" s="328"/>
      <c r="U38" s="308"/>
      <c r="V38" s="364"/>
      <c r="W38" s="741" t="str">
        <f>IF(AND(S18&gt;0,I33&gt;=2),'Translate&amp;Prices&amp;Logo'!B303&amp;" "&amp;'Translate&amp;Prices&amp;Logo'!B571&amp;" "&amp;'Translate&amp;Prices&amp;Logo'!B575,IF(AND(S18&gt;0,I33&lt;2),'Translate&amp;Prices&amp;Logo'!B303&amp;" "&amp;'Translate&amp;Prices&amp;Logo'!B571,IF(AND(S18=0,I33&gt;=2),'Translate&amp;Prices&amp;Logo'!B575,0)))</f>
        <v>Mezera mezi předěly musí být alespoň 100 mm. Pohled na předěly je jen ilustrativní a nezobrazuje zvolený počet ks. předělů horizontálně / vertikálně.</v>
      </c>
      <c r="X38" s="742"/>
      <c r="Y38" s="742"/>
      <c r="Z38" s="742"/>
      <c r="AA38" s="742"/>
      <c r="AB38" s="742"/>
      <c r="AC38" s="742"/>
      <c r="AD38" s="742"/>
      <c r="AE38" s="742"/>
      <c r="AF38" s="742"/>
      <c r="AG38" s="742"/>
      <c r="AH38" s="742"/>
      <c r="AI38" s="742"/>
      <c r="AJ38" s="742"/>
      <c r="AK38" s="743"/>
    </row>
    <row r="39" spans="1:37" ht="15" customHeight="1">
      <c r="A39" s="309" t="s">
        <v>18</v>
      </c>
      <c r="B39" s="309">
        <f>IFERROR((VLOOKUP(I39,'Translate&amp;Prices&amp;Logo'!B99:D163,2,0))*((AD35/1000)*(AM19/1000)),0)</f>
        <v>0</v>
      </c>
      <c r="C39" s="583" t="str">
        <f>'Translate&amp;Prices&amp;Logo'!$B$173</f>
        <v>Typ úpravy skla</v>
      </c>
      <c r="D39" s="583"/>
      <c r="E39" s="583"/>
      <c r="F39" s="583"/>
      <c r="G39" s="583"/>
      <c r="H39" s="321"/>
      <c r="I39" s="750"/>
      <c r="J39" s="750"/>
      <c r="K39" s="750"/>
      <c r="L39" s="750"/>
      <c r="M39" s="750"/>
      <c r="N39" s="750"/>
      <c r="O39" s="750"/>
      <c r="P39" s="750"/>
      <c r="Q39" s="750"/>
      <c r="R39" s="750"/>
      <c r="S39" s="309"/>
      <c r="T39" s="308"/>
      <c r="U39" s="308"/>
      <c r="V39" s="365"/>
      <c r="W39" s="744"/>
      <c r="X39" s="745"/>
      <c r="Y39" s="745"/>
      <c r="Z39" s="745"/>
      <c r="AA39" s="745"/>
      <c r="AB39" s="745"/>
      <c r="AC39" s="745"/>
      <c r="AD39" s="745"/>
      <c r="AE39" s="745"/>
      <c r="AF39" s="745"/>
      <c r="AG39" s="745"/>
      <c r="AH39" s="745"/>
      <c r="AI39" s="745"/>
      <c r="AJ39" s="745"/>
      <c r="AK39" s="746"/>
    </row>
    <row r="40" spans="1:37" ht="18.600000000000001" customHeight="1">
      <c r="A40" s="309"/>
      <c r="B40" s="309"/>
      <c r="S40" s="308"/>
      <c r="T40" s="308"/>
      <c r="U40" s="308"/>
      <c r="V40" s="365"/>
      <c r="W40" s="744"/>
      <c r="X40" s="745"/>
      <c r="Y40" s="745"/>
      <c r="Z40" s="745"/>
      <c r="AA40" s="745"/>
      <c r="AB40" s="745"/>
      <c r="AC40" s="745"/>
      <c r="AD40" s="745"/>
      <c r="AE40" s="745"/>
      <c r="AF40" s="745"/>
      <c r="AG40" s="745"/>
      <c r="AH40" s="745"/>
      <c r="AI40" s="745"/>
      <c r="AJ40" s="745"/>
      <c r="AK40" s="746"/>
    </row>
    <row r="41" spans="1:37" ht="15" customHeight="1">
      <c r="A41" s="309" t="s">
        <v>2305</v>
      </c>
      <c r="B41" s="309"/>
      <c r="C41" s="583" t="str">
        <f>'Translate&amp;Prices&amp;Logo'!$B$549</f>
        <v>Rozteč úchytky (mm)</v>
      </c>
      <c r="D41" s="583"/>
      <c r="E41" s="583"/>
      <c r="F41" s="583"/>
      <c r="G41" s="583"/>
      <c r="H41" s="321"/>
      <c r="I41" s="720"/>
      <c r="J41" s="720"/>
      <c r="K41" s="720"/>
      <c r="L41" s="720"/>
      <c r="M41" s="720"/>
      <c r="N41" s="720"/>
      <c r="O41" s="720"/>
      <c r="P41" s="720"/>
      <c r="Q41" s="720"/>
      <c r="R41" s="720"/>
      <c r="S41" s="309"/>
      <c r="T41" s="308"/>
      <c r="U41" s="308"/>
      <c r="V41" s="365"/>
      <c r="W41" s="747"/>
      <c r="X41" s="748"/>
      <c r="Y41" s="748"/>
      <c r="Z41" s="748"/>
      <c r="AA41" s="748"/>
      <c r="AB41" s="748"/>
      <c r="AC41" s="748"/>
      <c r="AD41" s="748"/>
      <c r="AE41" s="748"/>
      <c r="AF41" s="748"/>
      <c r="AG41" s="748"/>
      <c r="AH41" s="748"/>
      <c r="AI41" s="748"/>
      <c r="AJ41" s="748"/>
      <c r="AK41" s="749"/>
    </row>
    <row r="42" spans="1:37" ht="18.600000000000001" customHeight="1">
      <c r="A42" s="309"/>
      <c r="B42" s="309"/>
      <c r="S42" s="308"/>
      <c r="T42" s="308"/>
      <c r="U42" s="308"/>
      <c r="V42" s="365"/>
      <c r="W42" s="365"/>
      <c r="X42" s="365"/>
      <c r="Y42" s="365"/>
      <c r="Z42" s="365"/>
      <c r="AA42" s="365"/>
      <c r="AB42" s="365"/>
      <c r="AC42" s="365"/>
      <c r="AD42" s="365"/>
      <c r="AE42" s="365"/>
      <c r="AF42" s="365"/>
      <c r="AG42" s="365"/>
      <c r="AH42" s="365"/>
      <c r="AI42" s="365"/>
      <c r="AJ42" s="365"/>
      <c r="AK42" s="365"/>
    </row>
    <row r="43" spans="1:37" ht="15" customHeight="1">
      <c r="A43" s="309" t="s">
        <v>2306</v>
      </c>
      <c r="B43" s="309"/>
      <c r="C43" s="583" t="str">
        <f>'Translate&amp;Prices&amp;Logo'!$B$550</f>
        <v>Umístění úchytky</v>
      </c>
      <c r="D43" s="583"/>
      <c r="E43" s="583"/>
      <c r="F43" s="583"/>
      <c r="G43" s="583"/>
      <c r="H43" s="321"/>
      <c r="I43" s="720"/>
      <c r="J43" s="720"/>
      <c r="K43" s="720"/>
      <c r="L43" s="720"/>
      <c r="M43" s="720"/>
      <c r="N43" s="720"/>
      <c r="O43" s="720"/>
      <c r="P43" s="720"/>
      <c r="Q43" s="720"/>
      <c r="R43" s="720"/>
      <c r="S43" s="309"/>
      <c r="T43" s="308"/>
      <c r="U43" s="308"/>
      <c r="V43" s="676" t="str">
        <f>'Translate&amp;Prices&amp;Logo'!$B$177</f>
        <v>Poznámky</v>
      </c>
      <c r="W43" s="676"/>
      <c r="X43" s="676"/>
      <c r="Y43" s="363"/>
      <c r="Z43" s="363"/>
      <c r="AA43" s="363"/>
      <c r="AB43" s="363"/>
      <c r="AC43" s="363"/>
      <c r="AD43" s="363"/>
      <c r="AE43" s="363"/>
      <c r="AF43" s="363"/>
      <c r="AG43" s="363"/>
      <c r="AH43" s="363"/>
      <c r="AI43" s="363"/>
      <c r="AJ43" s="363"/>
      <c r="AK43" s="363"/>
    </row>
    <row r="44" spans="1:37" ht="18.600000000000001" customHeight="1">
      <c r="A44" s="309"/>
      <c r="B44" s="309"/>
      <c r="S44" s="309"/>
      <c r="U44" s="308"/>
      <c r="V44" s="363"/>
      <c r="W44" s="759"/>
      <c r="X44" s="760"/>
      <c r="Y44" s="760"/>
      <c r="Z44" s="760"/>
      <c r="AA44" s="760"/>
      <c r="AB44" s="760"/>
      <c r="AC44" s="760"/>
      <c r="AD44" s="760"/>
      <c r="AE44" s="760"/>
      <c r="AF44" s="760"/>
      <c r="AG44" s="760"/>
      <c r="AH44" s="760"/>
      <c r="AI44" s="760"/>
      <c r="AJ44" s="760"/>
      <c r="AK44" s="761"/>
    </row>
    <row r="45" spans="1:37" ht="15" customHeight="1">
      <c r="A45" s="309" t="s">
        <v>2307</v>
      </c>
      <c r="B45" s="309">
        <f>I45</f>
        <v>1</v>
      </c>
      <c r="C45" s="583" t="str">
        <f>('Translate&amp;Prices&amp;Logo'!$B$174)&amp;" "&amp;"-"&amp;" "&amp;('Translate&amp;Prices&amp;Logo'!$B$169)&amp;" "&amp;" "&amp;2</f>
        <v>Počet kusů - Rámeček  2</v>
      </c>
      <c r="D45" s="583"/>
      <c r="E45" s="583"/>
      <c r="F45" s="583"/>
      <c r="G45" s="583"/>
      <c r="H45" s="321"/>
      <c r="I45" s="720">
        <v>1</v>
      </c>
      <c r="J45" s="720"/>
      <c r="K45" s="720"/>
      <c r="L45" s="720"/>
      <c r="M45" s="720"/>
      <c r="N45" s="720"/>
      <c r="O45" s="720"/>
      <c r="P45" s="720"/>
      <c r="Q45" s="720"/>
      <c r="R45" s="720"/>
      <c r="S45" s="310"/>
      <c r="V45" s="363"/>
      <c r="W45" s="762"/>
      <c r="X45" s="763"/>
      <c r="Y45" s="763"/>
      <c r="Z45" s="763"/>
      <c r="AA45" s="763"/>
      <c r="AB45" s="763"/>
      <c r="AC45" s="763"/>
      <c r="AD45" s="763"/>
      <c r="AE45" s="763"/>
      <c r="AF45" s="763"/>
      <c r="AG45" s="763"/>
      <c r="AH45" s="763"/>
      <c r="AI45" s="763"/>
      <c r="AJ45" s="763"/>
      <c r="AK45" s="764"/>
    </row>
    <row r="46" spans="1:37" ht="18.600000000000001" customHeight="1">
      <c r="A46" s="309"/>
      <c r="B46" s="309"/>
      <c r="I46" s="768"/>
      <c r="J46" s="768"/>
      <c r="K46" s="769" t="str">
        <f>S46&amp;" "&amp;'Translate&amp;Prices&amp;Logo'!$B$225</f>
        <v>&lt;----- Dodat včetně uvedeného kování</v>
      </c>
      <c r="L46" s="769"/>
      <c r="M46" s="769"/>
      <c r="N46" s="769"/>
      <c r="O46" s="769"/>
      <c r="P46" s="769"/>
      <c r="Q46" s="769"/>
      <c r="R46" s="769"/>
      <c r="S46" s="308" t="s">
        <v>2325</v>
      </c>
      <c r="W46" s="765"/>
      <c r="X46" s="766"/>
      <c r="Y46" s="766"/>
      <c r="Z46" s="766"/>
      <c r="AA46" s="766"/>
      <c r="AB46" s="766"/>
      <c r="AC46" s="766"/>
      <c r="AD46" s="766"/>
      <c r="AE46" s="766"/>
      <c r="AF46" s="766"/>
      <c r="AG46" s="766"/>
      <c r="AH46" s="766"/>
      <c r="AI46" s="766"/>
      <c r="AJ46" s="766"/>
      <c r="AK46" s="767"/>
    </row>
    <row r="47" spans="1:37" ht="21.75" thickBot="1">
      <c r="A47" s="309"/>
      <c r="B47" s="309"/>
      <c r="C47" s="753" t="str">
        <f>'Translate&amp;Prices&amp;Logo'!$B$178</f>
        <v>Cena rámečků celkem</v>
      </c>
      <c r="D47" s="753"/>
      <c r="E47" s="753"/>
      <c r="F47" s="753"/>
      <c r="G47" s="753"/>
      <c r="H47" s="753"/>
      <c r="I47" s="753"/>
      <c r="J47" s="753"/>
      <c r="K47" s="753"/>
      <c r="L47" s="288"/>
      <c r="M47" s="754">
        <f>((B13+B15+B17+B19+B35+B37+B39)*B45)*(1-Zakaznik!K23)</f>
        <v>2637.2918363999997</v>
      </c>
      <c r="N47" s="754"/>
      <c r="O47" s="754"/>
      <c r="P47" s="754"/>
      <c r="Q47" s="754"/>
      <c r="R47" s="754"/>
    </row>
    <row r="48" spans="1:37" ht="15.75" thickTop="1">
      <c r="A48" s="308"/>
      <c r="B48" s="308"/>
      <c r="C48" s="755" t="str">
        <f>'Translate&amp;Prices&amp;Logo'!$B$171</f>
        <v>Uvedené ceny jsou bez DPH a nezahrnují cenu požadovaného kování!</v>
      </c>
      <c r="D48" s="755"/>
      <c r="E48" s="755"/>
      <c r="F48" s="755"/>
      <c r="G48" s="755"/>
      <c r="H48" s="755"/>
      <c r="I48" s="755"/>
      <c r="J48" s="755"/>
      <c r="K48" s="755"/>
      <c r="L48" s="755"/>
      <c r="M48" s="755"/>
      <c r="N48" s="755"/>
      <c r="O48" s="755"/>
      <c r="P48" s="755"/>
      <c r="Q48" s="755"/>
      <c r="R48" s="755"/>
      <c r="AF48" s="756" t="str">
        <f>'Translate&amp;Prices&amp;Logo'!$B$567</f>
        <v>Souhrn</v>
      </c>
      <c r="AG48" s="757"/>
      <c r="AH48" s="757"/>
      <c r="AI48" s="757"/>
      <c r="AJ48" s="757"/>
      <c r="AK48" s="757"/>
    </row>
    <row r="49" spans="1:37" ht="15">
      <c r="A49" s="308"/>
      <c r="B49" s="308"/>
      <c r="AF49" s="756"/>
      <c r="AG49" s="757"/>
      <c r="AH49" s="757"/>
      <c r="AI49" s="757"/>
      <c r="AJ49" s="757"/>
      <c r="AK49" s="757"/>
    </row>
    <row r="138" ht="15"/>
  </sheetData>
  <sheetProtection selectLockedCells="1"/>
  <mergeCells count="94">
    <mergeCell ref="C47:K47"/>
    <mergeCell ref="M47:R47"/>
    <mergeCell ref="C48:R48"/>
    <mergeCell ref="AF48:AK49"/>
    <mergeCell ref="I36:R36"/>
    <mergeCell ref="W44:AK46"/>
    <mergeCell ref="C43:G43"/>
    <mergeCell ref="I43:R43"/>
    <mergeCell ref="V43:X43"/>
    <mergeCell ref="C45:G45"/>
    <mergeCell ref="I45:R45"/>
    <mergeCell ref="I46:J46"/>
    <mergeCell ref="K46:R46"/>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AE31:AE32"/>
    <mergeCell ref="C33:G33"/>
    <mergeCell ref="I33:R33"/>
    <mergeCell ref="C32:F32"/>
    <mergeCell ref="G32:J32"/>
    <mergeCell ref="K32:N32"/>
    <mergeCell ref="O32:R32"/>
    <mergeCell ref="X30:Y30"/>
    <mergeCell ref="AA30:AF30"/>
    <mergeCell ref="AG24:AG30"/>
    <mergeCell ref="C28:F28"/>
    <mergeCell ref="O28:R28"/>
    <mergeCell ref="G28:J28"/>
    <mergeCell ref="K28:N28"/>
    <mergeCell ref="C27:G27"/>
    <mergeCell ref="I27:R27"/>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C34:F34"/>
    <mergeCell ref="G34:J34"/>
    <mergeCell ref="K34:N34"/>
    <mergeCell ref="O34:R34"/>
    <mergeCell ref="I18:M18"/>
    <mergeCell ref="N18:R18"/>
    <mergeCell ref="C23:G23"/>
    <mergeCell ref="C25:G25"/>
    <mergeCell ref="C29:G29"/>
    <mergeCell ref="C31:G31"/>
    <mergeCell ref="I31:R31"/>
    <mergeCell ref="C19:G19"/>
    <mergeCell ref="I19:M19"/>
    <mergeCell ref="AE12:AE13"/>
    <mergeCell ref="C13:G13"/>
    <mergeCell ref="I13:R13"/>
    <mergeCell ref="X13:AB13"/>
    <mergeCell ref="X14:Y14"/>
    <mergeCell ref="AA14:AF14"/>
    <mergeCell ref="Z15:Z21"/>
    <mergeCell ref="I17:R17"/>
    <mergeCell ref="C15:G15"/>
    <mergeCell ref="I15:R15"/>
    <mergeCell ref="Y15:Y17"/>
    <mergeCell ref="C17:G17"/>
    <mergeCell ref="C21:G21"/>
    <mergeCell ref="AK2:AN3"/>
    <mergeCell ref="P4:AC5"/>
    <mergeCell ref="P8:Q8"/>
    <mergeCell ref="R8:T8"/>
    <mergeCell ref="V8:X8"/>
    <mergeCell ref="Z8:AB8"/>
    <mergeCell ref="AD8:AF8"/>
    <mergeCell ref="AH8:AJ8"/>
    <mergeCell ref="AL8:AN8"/>
  </mergeCells>
  <conditionalFormatting sqref="C17:R17">
    <cfRule type="expression" dxfId="146" priority="32">
      <formula>$C$17=0</formula>
    </cfRule>
  </conditionalFormatting>
  <conditionalFormatting sqref="C19:R19">
    <cfRule type="expression" dxfId="145" priority="33">
      <formula>$S$18=0</formula>
    </cfRule>
  </conditionalFormatting>
  <conditionalFormatting sqref="C25:R25">
    <cfRule type="expression" dxfId="144" priority="30">
      <formula>$C$25=0</formula>
    </cfRule>
  </conditionalFormatting>
  <conditionalFormatting sqref="C28:R28">
    <cfRule type="expression" dxfId="143" priority="9">
      <formula>$S$27=0</formula>
    </cfRule>
  </conditionalFormatting>
  <conditionalFormatting sqref="C29:R29">
    <cfRule type="expression" dxfId="142" priority="31">
      <formula>$C$29=0</formula>
    </cfRule>
  </conditionalFormatting>
  <conditionalFormatting sqref="C31:R31">
    <cfRule type="expression" dxfId="141" priority="5">
      <formula>$C$31=0</formula>
    </cfRule>
  </conditionalFormatting>
  <conditionalFormatting sqref="C32:R32">
    <cfRule type="expression" dxfId="140" priority="8">
      <formula>$S$27=0</formula>
    </cfRule>
  </conditionalFormatting>
  <conditionalFormatting sqref="C33:R33">
    <cfRule type="expression" dxfId="139" priority="24">
      <formula>$C$33=0</formula>
    </cfRule>
  </conditionalFormatting>
  <conditionalFormatting sqref="C34:R34">
    <cfRule type="expression" dxfId="138" priority="2">
      <formula>$C$33=0</formula>
    </cfRule>
    <cfRule type="expression" dxfId="137" priority="1">
      <formula>$C$34=0</formula>
    </cfRule>
  </conditionalFormatting>
  <conditionalFormatting sqref="I36">
    <cfRule type="expression" dxfId="136" priority="10">
      <formula>$I$39&gt;0</formula>
    </cfRule>
  </conditionalFormatting>
  <conditionalFormatting sqref="I18:M18">
    <cfRule type="expression" dxfId="135" priority="38">
      <formula>$S$18=1</formula>
    </cfRule>
  </conditionalFormatting>
  <conditionalFormatting sqref="I19:M19">
    <cfRule type="expression" dxfId="134" priority="34">
      <formula>$S$18=2</formula>
    </cfRule>
  </conditionalFormatting>
  <conditionalFormatting sqref="I18:R18">
    <cfRule type="expression" dxfId="133" priority="36">
      <formula>$S$18=3</formula>
    </cfRule>
  </conditionalFormatting>
  <conditionalFormatting sqref="N18:R18">
    <cfRule type="expression" dxfId="132" priority="37">
      <formula>$S$18=2</formula>
    </cfRule>
  </conditionalFormatting>
  <conditionalFormatting sqref="N19:R19">
    <cfRule type="expression" dxfId="131" priority="35">
      <formula>$S$18=1</formula>
    </cfRule>
  </conditionalFormatting>
  <conditionalFormatting sqref="R8:T8">
    <cfRule type="cellIs" dxfId="130" priority="22" operator="equal">
      <formula>$P$4</formula>
    </cfRule>
  </conditionalFormatting>
  <conditionalFormatting sqref="V37">
    <cfRule type="cellIs" dxfId="129" priority="11" operator="equal">
      <formula>0</formula>
    </cfRule>
  </conditionalFormatting>
  <conditionalFormatting sqref="V8:X8 Z8:AB8 AD8:AF8 AH8:AJ8 AL8:AN8">
    <cfRule type="cellIs" dxfId="128" priority="23" operator="equal">
      <formula>$P$4</formula>
    </cfRule>
  </conditionalFormatting>
  <conditionalFormatting sqref="W38 V42:AK42 V43 Y43:AK43 V44:W44 V45">
    <cfRule type="cellIs" dxfId="127" priority="17" operator="equal">
      <formula>0</formula>
    </cfRule>
  </conditionalFormatting>
  <conditionalFormatting sqref="W24:X24">
    <cfRule type="expression" dxfId="126" priority="21">
      <formula>$S$33=1</formula>
    </cfRule>
  </conditionalFormatting>
  <conditionalFormatting sqref="X14:Y14">
    <cfRule type="expression" dxfId="125" priority="58">
      <formula>$S$33=3</formula>
    </cfRule>
  </conditionalFormatting>
  <conditionalFormatting sqref="X30:Y30">
    <cfRule type="expression" dxfId="124" priority="56">
      <formula>$S$33=4</formula>
    </cfRule>
  </conditionalFormatting>
  <conditionalFormatting sqref="X13:AB13">
    <cfRule type="expression" dxfId="123" priority="48">
      <formula>$S$33=3</formula>
    </cfRule>
  </conditionalFormatting>
  <conditionalFormatting sqref="X29:AB29">
    <cfRule type="expression" dxfId="122" priority="51">
      <formula>$S$33=4</formula>
    </cfRule>
  </conditionalFormatting>
  <conditionalFormatting sqref="Y15:Y17">
    <cfRule type="expression" dxfId="121" priority="62">
      <formula>$S$33=1</formula>
    </cfRule>
  </conditionalFormatting>
  <conditionalFormatting sqref="Y19:Y26">
    <cfRule type="expression" dxfId="120" priority="63">
      <formula>$S$33=1</formula>
    </cfRule>
  </conditionalFormatting>
  <conditionalFormatting sqref="Z15:Z21">
    <cfRule type="expression" dxfId="119" priority="50">
      <formula>$S$33=1</formula>
    </cfRule>
  </conditionalFormatting>
  <conditionalFormatting sqref="AA14:AF14">
    <cfRule type="expression" dxfId="118" priority="59">
      <formula>$S$33=3</formula>
    </cfRule>
  </conditionalFormatting>
  <conditionalFormatting sqref="AA30:AF30">
    <cfRule type="expression" dxfId="117" priority="57">
      <formula>$S$33=4</formula>
    </cfRule>
  </conditionalFormatting>
  <conditionalFormatting sqref="AE12:AE13">
    <cfRule type="expression" dxfId="116" priority="19">
      <formula>$S$33=3</formula>
    </cfRule>
  </conditionalFormatting>
  <conditionalFormatting sqref="AE31:AE32">
    <cfRule type="expression" dxfId="115" priority="18">
      <formula>$S$33=4</formula>
    </cfRule>
  </conditionalFormatting>
  <conditionalFormatting sqref="AG24:AG30">
    <cfRule type="expression" dxfId="114" priority="49">
      <formula>$S$33=2</formula>
    </cfRule>
  </conditionalFormatting>
  <conditionalFormatting sqref="AH19:AH26">
    <cfRule type="expression" dxfId="113" priority="61">
      <formula>$S$33=2</formula>
    </cfRule>
  </conditionalFormatting>
  <conditionalFormatting sqref="AH28:AH30">
    <cfRule type="expression" dxfId="112" priority="60">
      <formula>$S$33=2</formula>
    </cfRule>
  </conditionalFormatting>
  <conditionalFormatting sqref="AI24:AJ24">
    <cfRule type="expression" dxfId="111"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AL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16" width="8.5703125" style="1" customWidth="1"/>
    <col min="17" max="17" width="6.5703125" style="1" customWidth="1"/>
    <col min="18" max="20" width="8.5703125" style="1" customWidth="1"/>
    <col min="21" max="38" width="0" style="1" hidden="1" customWidth="1"/>
    <col min="39" max="16384" width="8.5703125" style="1" hidden="1"/>
  </cols>
  <sheetData>
    <row r="1" spans="1:23">
      <c r="A1" s="324"/>
      <c r="B1" s="324"/>
      <c r="C1" s="324"/>
      <c r="D1" s="324"/>
      <c r="E1" s="324"/>
      <c r="F1" s="324"/>
      <c r="G1" s="324"/>
      <c r="H1" s="324"/>
      <c r="I1" s="324"/>
      <c r="J1" s="324"/>
      <c r="K1" s="324"/>
      <c r="L1" s="324"/>
      <c r="M1" s="324"/>
      <c r="N1" s="324"/>
      <c r="O1" s="324"/>
    </row>
    <row r="2" spans="1:23">
      <c r="A2" s="325"/>
      <c r="B2" s="325"/>
      <c r="C2" s="325"/>
      <c r="D2" s="325"/>
      <c r="E2" s="325"/>
      <c r="F2" s="325"/>
      <c r="G2" s="325"/>
      <c r="H2" s="325"/>
      <c r="I2" s="325"/>
      <c r="J2" s="325"/>
      <c r="K2" s="325"/>
      <c r="L2" s="325"/>
      <c r="M2" s="325"/>
      <c r="N2" s="325"/>
      <c r="O2" s="325"/>
      <c r="P2" s="270"/>
      <c r="Q2" s="579" t="str">
        <f>'Translate&amp;Prices&amp;Logo'!$B$540</f>
        <v>Úvod</v>
      </c>
      <c r="R2" s="580"/>
      <c r="S2" s="580"/>
      <c r="T2" s="580"/>
    </row>
    <row r="3" spans="1:23">
      <c r="A3" s="325"/>
      <c r="B3" s="325"/>
      <c r="C3" s="325"/>
      <c r="D3" s="325"/>
      <c r="E3" s="325"/>
      <c r="F3" s="325"/>
      <c r="G3" s="325"/>
      <c r="H3" s="325"/>
      <c r="I3" s="325"/>
      <c r="J3" s="325"/>
      <c r="K3" s="325"/>
      <c r="L3" s="325"/>
      <c r="M3" s="325"/>
      <c r="N3" s="325"/>
      <c r="O3" s="325"/>
      <c r="P3" s="270"/>
      <c r="Q3" s="579"/>
      <c r="R3" s="580"/>
      <c r="S3" s="580"/>
      <c r="T3" s="580"/>
    </row>
    <row r="4" spans="1:23">
      <c r="A4" s="324"/>
      <c r="B4" s="324"/>
      <c r="C4" s="324"/>
      <c r="D4" s="324"/>
      <c r="E4" s="324"/>
      <c r="F4" s="324"/>
      <c r="G4" s="324"/>
      <c r="H4" s="324"/>
      <c r="I4" s="324"/>
    </row>
    <row r="5" spans="1:23">
      <c r="A5" s="324"/>
      <c r="B5" s="324"/>
      <c r="C5" s="324"/>
      <c r="D5" s="324"/>
      <c r="E5" s="324"/>
      <c r="F5" s="324"/>
      <c r="G5" s="324"/>
      <c r="H5" s="324"/>
      <c r="I5" s="577" t="str">
        <f>'Translate&amp;Prices&amp;Logo'!$B$302</f>
        <v>Vždy používejte aktuální verzi formuláře, který je dostupný na našich stánkách.</v>
      </c>
      <c r="J5" s="577"/>
      <c r="K5" s="577"/>
      <c r="L5" s="577"/>
      <c r="M5" s="577"/>
      <c r="N5" s="577"/>
      <c r="O5" s="577"/>
      <c r="P5" s="577"/>
      <c r="Q5" s="577"/>
      <c r="R5" s="577"/>
      <c r="S5" s="577"/>
      <c r="T5" s="577"/>
    </row>
    <row r="6" spans="1:23" ht="14.85" customHeight="1">
      <c r="I6" s="584" t="str">
        <f>'Translate&amp;Prices&amp;Logo'!$B$246</f>
        <v xml:space="preserve">Při vyplňování formuláře postupujte vždy shora dolů. Provedete li zpětně změnu, překontrolujte zda jsou následující položky správně. </v>
      </c>
      <c r="J6" s="584"/>
      <c r="K6" s="584"/>
      <c r="L6" s="584"/>
      <c r="M6" s="584"/>
      <c r="N6" s="584"/>
      <c r="O6" s="584"/>
      <c r="P6" s="584"/>
      <c r="Q6" s="584"/>
      <c r="R6" s="584"/>
      <c r="S6" s="584"/>
      <c r="T6" s="584"/>
      <c r="U6" s="584"/>
      <c r="V6" s="584"/>
      <c r="W6" s="584"/>
    </row>
    <row r="7" spans="1:23"/>
    <row r="8" spans="1:23" ht="11.1" customHeight="1">
      <c r="E8" s="368" t="str">
        <f>'Translate&amp;Prices&amp;Logo'!B306</f>
        <v xml:space="preserve">Vyplňte prosím vaše kontaktní údaje a poté klikněte na požadované políčko níže. </v>
      </c>
    </row>
    <row r="9" spans="1:23" ht="11.1" customHeight="1">
      <c r="E9" s="368" t="str">
        <f>'Translate&amp;Prices&amp;Logo'!B307</f>
        <v>Vyplněním kontaktních údajů vyjadřujete současně souhlas, že jste se seznámil s informacemi uvedenými níže!</v>
      </c>
    </row>
    <row r="10" spans="1:23" ht="6.6" customHeight="1"/>
    <row r="11" spans="1:23">
      <c r="E11" s="581"/>
      <c r="F11" s="581"/>
      <c r="G11" s="581"/>
      <c r="H11" s="581"/>
      <c r="I11" s="581"/>
      <c r="J11" s="310"/>
      <c r="K11" s="582"/>
      <c r="L11" s="582"/>
      <c r="M11" s="582"/>
      <c r="N11" s="582"/>
      <c r="O11" s="582"/>
      <c r="P11" s="582"/>
    </row>
    <row r="12" spans="1:23"/>
    <row r="13" spans="1:23">
      <c r="E13" s="583" t="str">
        <f>'Translate&amp;Prices&amp;Logo'!$B$249</f>
        <v>Zákazník</v>
      </c>
      <c r="F13" s="583"/>
      <c r="G13" s="583"/>
      <c r="H13" s="583"/>
      <c r="I13" s="583"/>
      <c r="J13" s="321"/>
      <c r="K13" s="578"/>
      <c r="L13" s="578"/>
      <c r="M13" s="578"/>
      <c r="N13" s="578"/>
      <c r="O13" s="578"/>
      <c r="P13" s="578"/>
    </row>
    <row r="14" spans="1:23"/>
    <row r="15" spans="1:23">
      <c r="E15" s="583" t="str">
        <f>'Translate&amp;Prices&amp;Logo'!$B$253</f>
        <v>IČ:</v>
      </c>
      <c r="F15" s="583"/>
      <c r="G15" s="583"/>
      <c r="H15" s="583"/>
      <c r="I15" s="583"/>
      <c r="J15" s="321"/>
      <c r="K15" s="578"/>
      <c r="L15" s="578"/>
      <c r="M15" s="578"/>
      <c r="N15" s="578"/>
      <c r="O15" s="578"/>
      <c r="P15" s="578"/>
    </row>
    <row r="16" spans="1:23"/>
    <row r="17" spans="5:16">
      <c r="E17" s="583" t="str">
        <f>'Translate&amp;Prices&amp;Logo'!$B$250</f>
        <v>Kontaktní tel.</v>
      </c>
      <c r="F17" s="583"/>
      <c r="G17" s="583"/>
      <c r="H17" s="583"/>
      <c r="I17" s="583"/>
      <c r="J17" s="321"/>
      <c r="K17" s="578"/>
      <c r="L17" s="578"/>
      <c r="M17" s="578"/>
      <c r="N17" s="578"/>
      <c r="O17" s="578"/>
      <c r="P17" s="578"/>
    </row>
    <row r="18" spans="5:16"/>
    <row r="19" spans="5:16">
      <c r="E19" s="583" t="str">
        <f>'Translate&amp;Prices&amp;Logo'!$B$251</f>
        <v>Kontaktní e-mail</v>
      </c>
      <c r="F19" s="583"/>
      <c r="G19" s="583"/>
      <c r="H19" s="583"/>
      <c r="I19" s="583"/>
      <c r="J19" s="321"/>
      <c r="K19" s="578"/>
      <c r="L19" s="578"/>
      <c r="M19" s="578"/>
      <c r="N19" s="578"/>
      <c r="O19" s="578"/>
      <c r="P19" s="578"/>
    </row>
    <row r="20" spans="5:16"/>
    <row r="21" spans="5:16">
      <c r="E21" s="583" t="str">
        <f>'Translate&amp;Prices&amp;Logo'!$B$252</f>
        <v>Adresa provozovny</v>
      </c>
      <c r="F21" s="583"/>
      <c r="G21" s="583"/>
      <c r="H21" s="583"/>
      <c r="I21" s="583"/>
      <c r="J21" s="321"/>
      <c r="K21" s="578"/>
      <c r="L21" s="578"/>
      <c r="M21" s="578"/>
      <c r="N21" s="578"/>
      <c r="O21" s="578"/>
      <c r="P21" s="578"/>
    </row>
    <row r="22" spans="5:16"/>
    <row r="23" spans="5:16">
      <c r="E23" s="583" t="str">
        <f>'Translate&amp;Prices&amp;Logo'!$B$254</f>
        <v>Sleva na rámečky</v>
      </c>
      <c r="F23" s="583"/>
      <c r="G23" s="583"/>
      <c r="H23" s="583"/>
      <c r="I23" s="583"/>
      <c r="J23" s="321"/>
      <c r="K23" s="585"/>
      <c r="L23" s="585"/>
      <c r="M23" s="585"/>
      <c r="N23" s="585"/>
      <c r="O23" s="585"/>
      <c r="P23" s="585"/>
    </row>
    <row r="24" spans="5:16" ht="21" customHeight="1"/>
    <row r="25" spans="5:16"/>
    <row r="26" spans="5:16">
      <c r="E26" s="587" t="str">
        <f>'Translate&amp;Prices&amp;Logo'!$B$314&amp;" "&amp;'Translate&amp;Prices&amp;Logo'!$B$315</f>
        <v>Vyplněnou objednávku zašlete na adresu  objednavky@demos-trade.com</v>
      </c>
      <c r="F26" s="587"/>
      <c r="G26" s="587"/>
      <c r="H26" s="587"/>
      <c r="I26" s="587"/>
      <c r="J26" s="587"/>
      <c r="K26" s="587"/>
      <c r="L26" s="587"/>
      <c r="M26" s="587"/>
      <c r="N26" s="587"/>
      <c r="O26" s="587"/>
      <c r="P26" s="587"/>
    </row>
    <row r="27" spans="5:16" ht="14.85" customHeight="1">
      <c r="E27" s="586" t="str">
        <f>'Translate&amp;Prices&amp;Logo'!$B$171</f>
        <v>Uvedené ceny jsou bez DPH a nezahrnují cenu požadovaného kování!</v>
      </c>
      <c r="F27" s="586"/>
      <c r="G27" s="586"/>
      <c r="H27" s="586"/>
      <c r="I27" s="586"/>
      <c r="J27" s="586"/>
      <c r="K27" s="586"/>
      <c r="L27" s="586"/>
      <c r="M27" s="586"/>
      <c r="N27" s="586"/>
      <c r="O27" s="586"/>
      <c r="P27" s="586"/>
    </row>
    <row r="28" spans="5:16">
      <c r="E28" s="586" t="str">
        <f>'Translate&amp;Prices&amp;Logo'!$B$301</f>
        <v xml:space="preserve">Pro připevnění kování do ALU rámečku, je nutné používat vruty pro toto určené (např. kód 13681). </v>
      </c>
      <c r="F28" s="586"/>
      <c r="G28" s="586"/>
      <c r="H28" s="586"/>
      <c r="I28" s="586"/>
      <c r="J28" s="586"/>
      <c r="K28" s="586"/>
      <c r="L28" s="586"/>
      <c r="M28" s="586"/>
      <c r="N28" s="586"/>
      <c r="O28" s="586"/>
      <c r="P28" s="586"/>
    </row>
    <row r="29" spans="5:16" ht="26.25" customHeight="1">
      <c r="E29" s="586" t="str">
        <f>'Translate&amp;Prices&amp;Logo'!$B$327</f>
        <v>K nadrozměrným rámečkům (nad rozměr 1200 x 800 mm), může být účtován příplatek za speciální balení a dopravu (více informací na zákaznickém centru).</v>
      </c>
      <c r="F29" s="586"/>
      <c r="G29" s="586"/>
      <c r="H29" s="586"/>
      <c r="I29" s="586"/>
      <c r="J29" s="586"/>
      <c r="K29" s="586"/>
      <c r="L29" s="586"/>
      <c r="M29" s="586"/>
      <c r="N29" s="586"/>
      <c r="O29" s="586"/>
      <c r="P29" s="586"/>
    </row>
    <row r="30" spans="5:16">
      <c r="E30" s="586" t="str">
        <f>'Translate&amp;Prices&amp;Logo'!$B$331</f>
        <v>Pokud je úchytka připevněna skrz sklo, je nutné vždy použít distanční podložku (např. 144516, 191970, C0315)</v>
      </c>
      <c r="F30" s="586"/>
      <c r="G30" s="586"/>
      <c r="H30" s="586"/>
      <c r="I30" s="586"/>
      <c r="J30" s="586"/>
      <c r="K30" s="586"/>
      <c r="L30" s="586"/>
      <c r="M30" s="586"/>
      <c r="N30" s="586"/>
      <c r="O30" s="586"/>
      <c r="P30" s="586"/>
    </row>
    <row r="31" spans="5:16">
      <c r="E31" s="586" t="str">
        <f>'Translate&amp;Prices&amp;Logo'!$B$297</f>
        <v>Standardní průměr otvorů pro úchytky je ve skle 7 mm a v rámečku 5 mm (distanční podložky jsou součástí balení).</v>
      </c>
      <c r="F31" s="586"/>
      <c r="G31" s="586"/>
      <c r="H31" s="586"/>
      <c r="I31" s="586"/>
      <c r="J31" s="586"/>
      <c r="K31" s="586"/>
      <c r="L31" s="586"/>
      <c r="M31" s="586"/>
      <c r="N31" s="586"/>
      <c r="O31" s="586"/>
      <c r="P31" s="586"/>
    </row>
    <row r="32" spans="5:16">
      <c r="E32" s="586" t="str">
        <f>'Translate&amp;Prices&amp;Logo'!$B$311</f>
        <v>Maximální doporučený rozměr rámečku je 2550 x 1250 mm (v případě rámečků s nalepeným sklem, např. Corleone 1500 x 600 mm)</v>
      </c>
      <c r="F32" s="586"/>
      <c r="G32" s="586"/>
      <c r="H32" s="586"/>
      <c r="I32" s="586"/>
      <c r="J32" s="586"/>
      <c r="K32" s="586"/>
      <c r="L32" s="586"/>
      <c r="M32" s="586"/>
      <c r="N32" s="586"/>
      <c r="O32" s="586"/>
      <c r="P32" s="586"/>
    </row>
    <row r="33" spans="2:19">
      <c r="E33" s="586" t="str">
        <f>'Translate&amp;Prices&amp;Logo'!$B$300</f>
        <v>Reklamace spojené s poškozením nelze uplatnit, pokud byl rámeček již namontován.</v>
      </c>
      <c r="F33" s="586"/>
      <c r="G33" s="586"/>
      <c r="H33" s="586"/>
      <c r="I33" s="586"/>
      <c r="J33" s="586"/>
      <c r="K33" s="586"/>
      <c r="L33" s="586"/>
      <c r="M33" s="586"/>
      <c r="N33" s="586"/>
      <c r="O33" s="586"/>
      <c r="P33" s="586"/>
    </row>
    <row r="34" spans="2:19"/>
    <row r="35" spans="2:19">
      <c r="B35" s="579" t="str">
        <f>"&lt;"&amp;" "&amp;'Translate&amp;Prices&amp;Logo'!$B$574</f>
        <v>&lt; Zpět</v>
      </c>
      <c r="C35" s="580"/>
      <c r="E35" s="586" t="str">
        <f>'Translate&amp;Prices&amp;Logo'!$B$304</f>
        <v xml:space="preserve">Objednávka může obsahovat i více typů (rozměrů) rámečků najednou, přičemž se taková objednávka bere jako platná. Proto doporučujeme před odeslání zkontrolovat formulář, zda obsahuje pouze vámi požadované rámečky.     </v>
      </c>
      <c r="F35" s="586"/>
      <c r="G35" s="586"/>
      <c r="H35" s="586"/>
      <c r="I35" s="586"/>
      <c r="J35" s="586"/>
      <c r="K35" s="586"/>
      <c r="L35" s="586"/>
      <c r="M35" s="586"/>
      <c r="N35" s="586"/>
      <c r="O35" s="586"/>
      <c r="P35" s="586"/>
      <c r="R35" s="579" t="str">
        <f>'Translate&amp;Prices&amp;Logo'!$B$566&amp;" "&amp;"&gt;"</f>
        <v>Dále &gt;</v>
      </c>
      <c r="S35" s="580"/>
    </row>
    <row r="36" spans="2:19">
      <c r="B36" s="579"/>
      <c r="C36" s="580"/>
      <c r="E36" s="586"/>
      <c r="F36" s="586"/>
      <c r="G36" s="586"/>
      <c r="H36" s="586"/>
      <c r="I36" s="586"/>
      <c r="J36" s="586"/>
      <c r="K36" s="586"/>
      <c r="L36" s="586"/>
      <c r="M36" s="586"/>
      <c r="N36" s="586"/>
      <c r="O36" s="586"/>
      <c r="P36" s="586"/>
      <c r="R36" s="579"/>
      <c r="S36" s="580"/>
    </row>
    <row r="37" spans="2:19"/>
    <row r="38" spans="2:19"/>
  </sheetData>
  <sheetProtection algorithmName="SHA-512" hashValue="xZtFxhny3Be3cU1cedUzpamZqffKJ78OX31lMqcvmVNAxNg1wZVhd0y8afG+g7hnv6u4igEPuaP0Jg6AoXJOoQ==" saltValue="vofUmvP8gCWR8nkbWpynIA==" spinCount="100000" sheet="1" objects="1" scenarios="1" selectLockedCells="1"/>
  <mergeCells count="28">
    <mergeCell ref="B35:C36"/>
    <mergeCell ref="E23:I23"/>
    <mergeCell ref="K23:P23"/>
    <mergeCell ref="E35:P36"/>
    <mergeCell ref="E26:P26"/>
    <mergeCell ref="E27:P27"/>
    <mergeCell ref="E28:P28"/>
    <mergeCell ref="E30:P30"/>
    <mergeCell ref="E31:P31"/>
    <mergeCell ref="E32:P32"/>
    <mergeCell ref="E29:P29"/>
    <mergeCell ref="E33:P33"/>
    <mergeCell ref="I5:T5"/>
    <mergeCell ref="K21:P21"/>
    <mergeCell ref="R35:S36"/>
    <mergeCell ref="Q2:T3"/>
    <mergeCell ref="E11:I11"/>
    <mergeCell ref="K11:P11"/>
    <mergeCell ref="E17:I17"/>
    <mergeCell ref="E15:I15"/>
    <mergeCell ref="E13:I13"/>
    <mergeCell ref="K13:P13"/>
    <mergeCell ref="K15:P15"/>
    <mergeCell ref="K17:P17"/>
    <mergeCell ref="E21:I21"/>
    <mergeCell ref="I6:W6"/>
    <mergeCell ref="E19:I19"/>
    <mergeCell ref="K19:P19"/>
  </mergeCells>
  <hyperlinks>
    <hyperlink ref="Q2:T3" location="Hlavní!A1" display="Hlavní!A1" xr:uid="{B163AADE-6920-45CE-9416-12BC0A339B4E}"/>
    <hyperlink ref="R35:S36" location="Ram_1!A1" display="Ram_1!A1" xr:uid="{EA16C9CC-DA01-4D4D-9955-AB1271840A9E}"/>
    <hyperlink ref="B35:C36" location="Hlavní!A1" display="Hlavní!A1" xr:uid="{95AF7774-7006-4767-832D-D399C1488032}"/>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AV111"/>
  <sheetViews>
    <sheetView showGridLines="0" zoomScale="85" zoomScaleNormal="85" workbookViewId="0">
      <selection activeCell="AH2" sqref="AH2:AK3"/>
    </sheetView>
  </sheetViews>
  <sheetFormatPr defaultColWidth="0" defaultRowHeight="14.85" customHeight="1" zeroHeight="1"/>
  <cols>
    <col min="1" max="2" width="4.42578125" style="1" customWidth="1"/>
    <col min="3" max="3" width="12.42578125" style="1" customWidth="1"/>
    <col min="4" max="7" width="7" style="1" customWidth="1"/>
    <col min="8" max="8" width="5.42578125" style="1" customWidth="1"/>
    <col min="9" max="11" width="7.140625" style="1" customWidth="1"/>
    <col min="12" max="12" width="5.140625" style="1" customWidth="1"/>
    <col min="13" max="14" width="7.140625" style="1" customWidth="1"/>
    <col min="15" max="17" width="5.5703125" style="1" customWidth="1"/>
    <col min="18" max="18" width="4.42578125" style="1" customWidth="1"/>
    <col min="19" max="21" width="5.42578125" style="1" customWidth="1"/>
    <col min="22" max="22" width="3.42578125" style="1" customWidth="1"/>
    <col min="23" max="29" width="5.42578125" style="1" customWidth="1"/>
    <col min="30" max="30" width="5.42578125" style="212" customWidth="1"/>
    <col min="31" max="31" width="5.42578125" style="160" customWidth="1"/>
    <col min="32" max="36" width="5.42578125" style="1" customWidth="1"/>
    <col min="37" max="37" width="3.42578125" style="1" customWidth="1"/>
    <col min="38" max="38" width="3.5703125" style="1" hidden="1" customWidth="1"/>
    <col min="39" max="40" width="5.42578125" style="1" hidden="1" customWidth="1"/>
    <col min="41" max="41" width="2.5703125" style="1" hidden="1" customWidth="1"/>
    <col min="42" max="46" width="8.5703125" style="1" hidden="1" customWidth="1"/>
    <col min="47" max="48" width="8.5703125" style="211" hidden="1" customWidth="1"/>
    <col min="49" max="55" width="8.5703125" style="1" hidden="1" customWidth="1"/>
    <col min="56" max="16384" width="8.5703125" style="1" hidden="1"/>
  </cols>
  <sheetData>
    <row r="1" spans="1:37" ht="8.85" customHeight="1">
      <c r="A1" s="324"/>
      <c r="B1" s="324"/>
      <c r="C1" s="324"/>
      <c r="D1" s="324"/>
      <c r="E1" s="324"/>
      <c r="F1" s="324"/>
      <c r="G1" s="324"/>
      <c r="H1" s="324"/>
      <c r="I1" s="324"/>
      <c r="J1" s="324"/>
      <c r="K1" s="324"/>
      <c r="L1" s="324"/>
      <c r="M1" s="324"/>
      <c r="N1" s="324"/>
      <c r="O1" s="324"/>
      <c r="P1" s="324"/>
      <c r="Q1" s="324"/>
      <c r="R1" s="324"/>
      <c r="S1" s="324"/>
      <c r="T1" s="324"/>
      <c r="U1" s="324"/>
    </row>
    <row r="2" spans="1:37" ht="11.85" customHeight="1">
      <c r="A2" s="325"/>
      <c r="B2" s="325"/>
      <c r="C2" s="325"/>
      <c r="D2" s="325"/>
      <c r="E2" s="325"/>
      <c r="F2" s="325"/>
      <c r="G2" s="325"/>
      <c r="H2" s="325"/>
      <c r="I2" s="325"/>
      <c r="J2" s="325"/>
      <c r="K2" s="325"/>
      <c r="L2" s="325"/>
      <c r="M2" s="325"/>
      <c r="N2" s="325"/>
      <c r="O2" s="325"/>
      <c r="P2" s="787" t="str">
        <f>'Translate&amp;Prices&amp;Logo'!$B$278</f>
        <v>Posuvné rámečky</v>
      </c>
      <c r="Q2" s="787"/>
      <c r="R2" s="787"/>
      <c r="S2" s="787"/>
      <c r="T2" s="787"/>
      <c r="U2" s="787"/>
      <c r="V2" s="787"/>
      <c r="W2" s="787"/>
      <c r="X2" s="787"/>
      <c r="Y2" s="787"/>
      <c r="Z2" s="787"/>
      <c r="AA2" s="787"/>
      <c r="AB2" s="787"/>
      <c r="AC2" s="270"/>
      <c r="AD2" s="271"/>
      <c r="AE2" s="272"/>
      <c r="AF2" s="270"/>
      <c r="AG2" s="270"/>
      <c r="AH2" s="579" t="str">
        <f>'Translate&amp;Prices&amp;Logo'!$B$540</f>
        <v>Úvod</v>
      </c>
      <c r="AI2" s="580"/>
      <c r="AJ2" s="580"/>
      <c r="AK2" s="580"/>
    </row>
    <row r="3" spans="1:37" ht="11.85" customHeight="1">
      <c r="A3" s="325"/>
      <c r="B3" s="325"/>
      <c r="C3" s="325"/>
      <c r="D3" s="325"/>
      <c r="E3" s="325"/>
      <c r="F3" s="325"/>
      <c r="G3" s="325"/>
      <c r="H3" s="325"/>
      <c r="I3" s="325"/>
      <c r="J3" s="325"/>
      <c r="K3" s="325"/>
      <c r="L3" s="325"/>
      <c r="M3" s="325"/>
      <c r="N3" s="325"/>
      <c r="O3" s="325"/>
      <c r="P3" s="787"/>
      <c r="Q3" s="787"/>
      <c r="R3" s="787"/>
      <c r="S3" s="787"/>
      <c r="T3" s="787"/>
      <c r="U3" s="787"/>
      <c r="V3" s="787"/>
      <c r="W3" s="787"/>
      <c r="X3" s="787"/>
      <c r="Y3" s="787"/>
      <c r="Z3" s="787"/>
      <c r="AA3" s="787"/>
      <c r="AB3" s="787"/>
      <c r="AC3" s="270"/>
      <c r="AD3" s="271"/>
      <c r="AE3" s="272"/>
      <c r="AF3" s="270"/>
      <c r="AG3" s="270"/>
      <c r="AH3" s="579"/>
      <c r="AI3" s="580"/>
      <c r="AJ3" s="580"/>
      <c r="AK3" s="580"/>
    </row>
    <row r="4" spans="1:37" ht="6.6" customHeight="1">
      <c r="A4" s="324"/>
      <c r="B4" s="324"/>
      <c r="C4" s="324"/>
      <c r="D4" s="324"/>
      <c r="E4" s="324"/>
      <c r="F4" s="324"/>
      <c r="G4" s="324"/>
      <c r="P4" s="785"/>
      <c r="Q4" s="785"/>
      <c r="R4" s="785"/>
      <c r="S4" s="785"/>
      <c r="T4" s="785"/>
      <c r="U4" s="785"/>
      <c r="V4" s="785"/>
      <c r="W4" s="785"/>
      <c r="X4" s="785"/>
      <c r="Y4" s="785"/>
      <c r="Z4" s="785"/>
      <c r="AA4" s="785"/>
      <c r="AB4" s="785"/>
      <c r="AC4" s="785"/>
    </row>
    <row r="5" spans="1:37" ht="15" customHeight="1">
      <c r="A5" s="324"/>
      <c r="B5" s="324"/>
      <c r="C5" s="324"/>
      <c r="D5" s="324"/>
      <c r="E5" s="324"/>
      <c r="F5" s="324"/>
      <c r="G5" s="324"/>
      <c r="P5" s="785"/>
      <c r="Q5" s="785"/>
      <c r="R5" s="785"/>
      <c r="S5" s="785"/>
      <c r="T5" s="785"/>
      <c r="U5" s="785"/>
      <c r="V5" s="785"/>
      <c r="W5" s="785"/>
      <c r="X5" s="785"/>
      <c r="Y5" s="785"/>
      <c r="Z5" s="785"/>
      <c r="AA5" s="785"/>
      <c r="AB5" s="785"/>
      <c r="AC5" s="785"/>
    </row>
    <row r="6" spans="1:37" ht="14.85" customHeight="1"/>
    <row r="7" spans="1:37" ht="14.85" customHeight="1">
      <c r="S7" s="786" t="str">
        <f>'Translate&amp;Prices&amp;Logo'!$B$275</f>
        <v>Zde jsou uvedeny standardní přesahy dvířek</v>
      </c>
      <c r="T7" s="786"/>
      <c r="U7" s="786"/>
      <c r="V7" s="786"/>
      <c r="W7" s="786"/>
      <c r="X7" s="786"/>
      <c r="Y7" s="786"/>
      <c r="Z7" s="786"/>
      <c r="AA7" s="786"/>
    </row>
    <row r="8" spans="1:37" ht="7.35" customHeight="1"/>
    <row r="9" spans="1:37" ht="15">
      <c r="C9" s="784" t="str">
        <f>'Translate&amp;Prices&amp;Logo'!$B$256</f>
        <v>Číslo objednávky</v>
      </c>
      <c r="D9" s="784"/>
      <c r="E9" s="784"/>
      <c r="F9" s="784"/>
      <c r="G9" s="784"/>
      <c r="H9" s="321"/>
      <c r="I9" s="578"/>
      <c r="J9" s="578"/>
      <c r="K9" s="578"/>
      <c r="L9" s="578"/>
      <c r="M9" s="578"/>
      <c r="N9" s="578"/>
      <c r="S9" s="781" t="s">
        <v>41</v>
      </c>
      <c r="T9" s="781"/>
      <c r="U9" s="322"/>
      <c r="V9" s="780">
        <v>20</v>
      </c>
      <c r="W9" s="780"/>
      <c r="Y9" s="781" t="s">
        <v>708</v>
      </c>
      <c r="Z9" s="781"/>
      <c r="AA9" s="322"/>
      <c r="AB9" s="780">
        <v>48</v>
      </c>
      <c r="AC9" s="780"/>
    </row>
    <row r="10" spans="1:37" ht="6.6" customHeight="1">
      <c r="C10" s="362"/>
      <c r="D10" s="362"/>
      <c r="E10" s="362"/>
      <c r="F10" s="362"/>
      <c r="G10" s="362"/>
    </row>
    <row r="11" spans="1:37" ht="15">
      <c r="C11" s="784" t="str">
        <f>'Translate&amp;Prices&amp;Logo'!$B$249</f>
        <v>Zákazník</v>
      </c>
      <c r="D11" s="784"/>
      <c r="E11" s="784"/>
      <c r="F11" s="784"/>
      <c r="G11" s="784"/>
      <c r="H11" s="321"/>
      <c r="I11" s="578"/>
      <c r="J11" s="578"/>
      <c r="K11" s="578"/>
      <c r="L11" s="578"/>
      <c r="M11" s="578"/>
      <c r="N11" s="578"/>
      <c r="S11" s="781" t="s">
        <v>685</v>
      </c>
      <c r="T11" s="781"/>
      <c r="U11" s="322"/>
      <c r="V11" s="780">
        <v>20</v>
      </c>
      <c r="W11" s="780"/>
      <c r="Y11" s="781" t="s">
        <v>705</v>
      </c>
      <c r="Z11" s="781"/>
      <c r="AA11" s="322"/>
      <c r="AB11" s="780">
        <v>48</v>
      </c>
      <c r="AC11" s="780"/>
    </row>
    <row r="12" spans="1:37" ht="6.6" customHeight="1">
      <c r="C12" s="362"/>
      <c r="D12" s="362"/>
      <c r="E12" s="362"/>
      <c r="F12" s="362"/>
      <c r="G12" s="362"/>
    </row>
    <row r="13" spans="1:37" ht="15">
      <c r="C13" s="784" t="str">
        <f>'Translate&amp;Prices&amp;Logo'!$B$253</f>
        <v>IČ:</v>
      </c>
      <c r="D13" s="784"/>
      <c r="E13" s="784"/>
      <c r="F13" s="784"/>
      <c r="G13" s="784"/>
      <c r="H13" s="321"/>
      <c r="I13" s="578"/>
      <c r="J13" s="578"/>
      <c r="K13" s="578"/>
      <c r="L13" s="578"/>
      <c r="M13" s="578"/>
      <c r="N13" s="578"/>
      <c r="S13" s="781" t="s">
        <v>706</v>
      </c>
      <c r="T13" s="781"/>
      <c r="U13" s="322"/>
      <c r="V13" s="780">
        <v>48</v>
      </c>
      <c r="W13" s="780"/>
      <c r="Y13" s="781" t="s">
        <v>703</v>
      </c>
      <c r="Z13" s="781"/>
      <c r="AA13" s="322"/>
      <c r="AB13" s="780">
        <v>40</v>
      </c>
      <c r="AC13" s="780"/>
    </row>
    <row r="14" spans="1:37" ht="6.6" customHeight="1">
      <c r="C14" s="362"/>
      <c r="D14" s="362"/>
      <c r="E14" s="362"/>
      <c r="F14" s="362"/>
      <c r="G14" s="362"/>
    </row>
    <row r="15" spans="1:37" ht="15">
      <c r="C15" s="784" t="str">
        <f>'Translate&amp;Prices&amp;Logo'!$B$250</f>
        <v>Kontaktní tel.</v>
      </c>
      <c r="D15" s="784"/>
      <c r="E15" s="784"/>
      <c r="F15" s="784"/>
      <c r="G15" s="784"/>
      <c r="H15" s="321"/>
      <c r="I15" s="578"/>
      <c r="J15" s="578"/>
      <c r="K15" s="578"/>
      <c r="L15" s="578"/>
      <c r="M15" s="578"/>
      <c r="N15" s="578"/>
      <c r="S15" s="781" t="s">
        <v>678</v>
      </c>
      <c r="T15" s="781"/>
      <c r="U15" s="322"/>
      <c r="V15" s="780">
        <v>45</v>
      </c>
      <c r="W15" s="780"/>
      <c r="Y15" s="781" t="s">
        <v>702</v>
      </c>
      <c r="Z15" s="781"/>
      <c r="AA15" s="322"/>
      <c r="AB15" s="780">
        <v>40</v>
      </c>
      <c r="AC15" s="780"/>
    </row>
    <row r="16" spans="1:37" ht="6.6" customHeight="1">
      <c r="C16" s="362"/>
      <c r="D16" s="362"/>
      <c r="E16" s="362"/>
      <c r="F16" s="362"/>
      <c r="G16" s="362"/>
    </row>
    <row r="17" spans="2:48" ht="15">
      <c r="C17" s="784" t="str">
        <f>'Translate&amp;Prices&amp;Logo'!$B$251</f>
        <v>Kontaktní e-mail</v>
      </c>
      <c r="D17" s="784"/>
      <c r="E17" s="784"/>
      <c r="F17" s="784"/>
      <c r="G17" s="784"/>
      <c r="H17" s="321"/>
      <c r="I17" s="578"/>
      <c r="J17" s="578"/>
      <c r="K17" s="578"/>
      <c r="L17" s="578"/>
      <c r="M17" s="578"/>
      <c r="N17" s="578"/>
      <c r="S17" s="781" t="s">
        <v>707</v>
      </c>
      <c r="T17" s="781"/>
      <c r="U17" s="322"/>
      <c r="V17" s="780">
        <v>20</v>
      </c>
      <c r="W17" s="780"/>
      <c r="Y17" s="781" t="s">
        <v>709</v>
      </c>
      <c r="Z17" s="781"/>
      <c r="AA17" s="322"/>
      <c r="AB17" s="780">
        <v>40</v>
      </c>
      <c r="AC17" s="780"/>
    </row>
    <row r="18" spans="2:48" ht="6.6" customHeight="1">
      <c r="C18" s="362"/>
      <c r="D18" s="362"/>
      <c r="E18" s="362"/>
      <c r="F18" s="362"/>
      <c r="G18" s="362"/>
    </row>
    <row r="19" spans="2:48" ht="14.85" customHeight="1">
      <c r="C19" s="784" t="str">
        <f>'Translate&amp;Prices&amp;Logo'!$B$252</f>
        <v>Adresa provozovny</v>
      </c>
      <c r="D19" s="784"/>
      <c r="E19" s="784"/>
      <c r="F19" s="784"/>
      <c r="G19" s="784"/>
      <c r="H19" s="321"/>
      <c r="I19" s="578"/>
      <c r="J19" s="578"/>
      <c r="K19" s="578"/>
      <c r="L19" s="578"/>
      <c r="M19" s="578"/>
      <c r="N19" s="578"/>
      <c r="S19" s="781" t="s">
        <v>699</v>
      </c>
      <c r="T19" s="781"/>
      <c r="U19" s="322"/>
      <c r="V19" s="780" t="s">
        <v>405</v>
      </c>
      <c r="W19" s="780"/>
    </row>
    <row r="20" spans="2:48" s="310" customFormat="1" ht="14.85" customHeight="1">
      <c r="C20" s="355"/>
      <c r="D20" s="355"/>
      <c r="E20" s="355"/>
      <c r="F20" s="355"/>
      <c r="G20" s="355"/>
      <c r="I20" s="356"/>
      <c r="J20" s="356"/>
      <c r="K20" s="356"/>
      <c r="L20" s="356"/>
      <c r="M20" s="356"/>
      <c r="N20" s="356"/>
      <c r="R20" s="406"/>
      <c r="S20" s="357"/>
      <c r="T20" s="357"/>
      <c r="V20" s="358"/>
      <c r="W20" s="358"/>
      <c r="AD20" s="359"/>
      <c r="AE20" s="360"/>
      <c r="AU20" s="361"/>
      <c r="AV20" s="361"/>
    </row>
    <row r="21" spans="2:48" ht="14.85" customHeight="1">
      <c r="R21" s="405"/>
    </row>
    <row r="22" spans="2:48" ht="14.85" customHeight="1">
      <c r="R22" s="405"/>
      <c r="S22" s="783" t="str">
        <f>'Translate&amp;Prices&amp;Logo'!$B$225</f>
        <v>Dodat včetně uvedeného kování</v>
      </c>
      <c r="T22" s="783"/>
      <c r="U22" s="783"/>
      <c r="V22" s="783"/>
      <c r="W22" s="783"/>
      <c r="X22" s="783"/>
      <c r="Y22" s="783"/>
      <c r="Z22" s="783"/>
      <c r="AA22" s="783"/>
      <c r="AB22" s="783"/>
      <c r="AC22" s="782" t="str">
        <f>'Translate&amp;Prices&amp;Logo'!$B$326</f>
        <v>Množství (ks)</v>
      </c>
      <c r="AD22" s="782"/>
      <c r="AE22" s="782"/>
      <c r="AF22" s="310"/>
      <c r="AG22" s="782" t="str">
        <f>'Translate&amp;Prices&amp;Logo'!$B$325</f>
        <v>Jiný požadavek (ks)</v>
      </c>
      <c r="AH22" s="782"/>
      <c r="AI22" s="782"/>
      <c r="AJ22" s="782"/>
      <c r="AQ22" s="405" t="b">
        <v>1</v>
      </c>
    </row>
    <row r="23" spans="2:48" ht="6" customHeight="1" thickBot="1">
      <c r="R23" s="308">
        <f>IF(AQ22=TRUE,1,0)</f>
        <v>1</v>
      </c>
    </row>
    <row r="24" spans="2:48" ht="14.85" customHeight="1">
      <c r="E24" s="775" t="str">
        <f>"1."&amp;" "&amp;'Translate&amp;Prices&amp;Logo'!$B$169</f>
        <v>1. Rámeček</v>
      </c>
      <c r="F24" s="776"/>
      <c r="G24" s="777"/>
      <c r="I24" s="775" t="str">
        <f>"2."&amp;" "&amp;'Translate&amp;Prices&amp;Logo'!$B$169</f>
        <v>2. Rámeček</v>
      </c>
      <c r="J24" s="776"/>
      <c r="K24" s="777"/>
      <c r="M24" s="775" t="str">
        <f>"3."&amp;" "&amp;'Translate&amp;Prices&amp;Logo'!$B$169</f>
        <v>3. Rámeček</v>
      </c>
      <c r="N24" s="776"/>
      <c r="O24" s="777"/>
      <c r="R24" s="405"/>
      <c r="S24" s="773" t="str">
        <f>'Translate&amp;Prices&amp;Logo'!$B$317</f>
        <v>Sada kování na úzký rámeček H27AL (88630)</v>
      </c>
      <c r="T24" s="773"/>
      <c r="U24" s="773"/>
      <c r="V24" s="773"/>
      <c r="W24" s="773"/>
      <c r="X24" s="773"/>
      <c r="Y24" s="773"/>
      <c r="Z24" s="773"/>
      <c r="AA24" s="773"/>
      <c r="AB24" s="322"/>
      <c r="AC24" s="774">
        <f>IFERROR(IF(O42&gt;=1,IF(R23=1,IF(AK25&gt;=1,AG24,O42),0),0),0)</f>
        <v>0</v>
      </c>
      <c r="AD24" s="774"/>
      <c r="AE24" s="774"/>
      <c r="AF24" s="343" t="s">
        <v>2327</v>
      </c>
      <c r="AG24" s="731"/>
      <c r="AH24" s="731"/>
      <c r="AI24" s="731"/>
      <c r="AJ24" s="731"/>
      <c r="AK24" s="310"/>
    </row>
    <row r="25" spans="2:48" ht="14.85" customHeight="1">
      <c r="E25" s="333"/>
      <c r="G25" s="334"/>
      <c r="I25" s="333"/>
      <c r="K25" s="334"/>
      <c r="M25" s="333"/>
      <c r="O25" s="334"/>
      <c r="R25" s="405"/>
      <c r="S25" s="362"/>
      <c r="T25" s="362"/>
      <c r="U25" s="362"/>
      <c r="V25" s="362"/>
      <c r="W25" s="362"/>
      <c r="X25" s="362"/>
      <c r="Y25" s="362"/>
      <c r="Z25" s="362"/>
      <c r="AA25" s="362"/>
      <c r="AD25" s="1"/>
      <c r="AK25" s="309">
        <f>AG24</f>
        <v>0</v>
      </c>
    </row>
    <row r="26" spans="2:48" ht="14.85" customHeight="1">
      <c r="B26" s="730" t="str">
        <f>'Translate&amp;Prices&amp;Logo'!$B$176</f>
        <v>Výška</v>
      </c>
      <c r="C26" s="730"/>
      <c r="D26" s="322"/>
      <c r="E26" s="771"/>
      <c r="F26" s="731"/>
      <c r="G26" s="772"/>
      <c r="H26" s="322"/>
      <c r="I26" s="771"/>
      <c r="J26" s="731"/>
      <c r="K26" s="772"/>
      <c r="L26" s="322"/>
      <c r="M26" s="771"/>
      <c r="N26" s="731"/>
      <c r="O26" s="772"/>
      <c r="R26" s="405"/>
      <c r="S26" s="773" t="str">
        <f>'Translate&amp;Prices&amp;Logo'!$B$318</f>
        <v>Sada kování na široký rámeček H37AL (88631)</v>
      </c>
      <c r="T26" s="773"/>
      <c r="U26" s="773"/>
      <c r="V26" s="773"/>
      <c r="W26" s="773"/>
      <c r="X26" s="773"/>
      <c r="Y26" s="773"/>
      <c r="Z26" s="773"/>
      <c r="AA26" s="773"/>
      <c r="AB26" s="322"/>
      <c r="AC26" s="774">
        <f>IFERROR(IF(O41&gt;=1,IF(R23=1,IF(AK27&gt;=1,AG26,O41),0),0),0)</f>
        <v>0</v>
      </c>
      <c r="AD26" s="774"/>
      <c r="AE26" s="774"/>
      <c r="AF26" s="343" t="s">
        <v>2327</v>
      </c>
      <c r="AG26" s="731"/>
      <c r="AH26" s="731"/>
      <c r="AI26" s="731"/>
      <c r="AJ26" s="731"/>
      <c r="AK26" s="309"/>
    </row>
    <row r="27" spans="2:48" ht="14.85" customHeight="1">
      <c r="B27" s="251"/>
      <c r="C27" s="251"/>
      <c r="E27" s="333"/>
      <c r="G27" s="334"/>
      <c r="I27" s="333"/>
      <c r="K27" s="334"/>
      <c r="M27" s="333"/>
      <c r="O27" s="334"/>
      <c r="S27" s="362"/>
      <c r="T27" s="362"/>
      <c r="U27" s="362"/>
      <c r="V27" s="362"/>
      <c r="W27" s="362"/>
      <c r="X27" s="362"/>
      <c r="Y27" s="362"/>
      <c r="Z27" s="362"/>
      <c r="AA27" s="362"/>
      <c r="AD27" s="1"/>
      <c r="AK27" s="309">
        <f>AG26</f>
        <v>0</v>
      </c>
    </row>
    <row r="28" spans="2:48" ht="14.85" customHeight="1">
      <c r="B28" s="730" t="str">
        <f>'Translate&amp;Prices&amp;Logo'!$B$175</f>
        <v xml:space="preserve">Šířka </v>
      </c>
      <c r="C28" s="730"/>
      <c r="D28" s="322"/>
      <c r="E28" s="771"/>
      <c r="F28" s="731"/>
      <c r="G28" s="772"/>
      <c r="H28" s="322"/>
      <c r="I28" s="771"/>
      <c r="J28" s="731"/>
      <c r="K28" s="772"/>
      <c r="L28" s="322"/>
      <c r="M28" s="771"/>
      <c r="N28" s="731"/>
      <c r="O28" s="772"/>
      <c r="S28" s="773" t="str">
        <f>'Translate&amp;Prices&amp;Logo'!$B$321</f>
        <v>Horní vedení délka 2 m (87313)</v>
      </c>
      <c r="T28" s="773"/>
      <c r="U28" s="773"/>
      <c r="V28" s="773"/>
      <c r="W28" s="773"/>
      <c r="X28" s="773"/>
      <c r="Y28" s="773"/>
      <c r="Z28" s="773"/>
      <c r="AA28" s="773"/>
      <c r="AB28" s="322"/>
      <c r="AC28" s="774">
        <f>IF($R$23=1,IF(AG28&gt;0,AG28,AK29),AK29)</f>
        <v>0</v>
      </c>
      <c r="AD28" s="774">
        <f>IF('Posuvné rámečky'!$M$23=1,IF(AI28=0,'Posuvné rámečky'!M26,0),0)</f>
        <v>0</v>
      </c>
      <c r="AE28" s="774"/>
      <c r="AF28" s="343" t="s">
        <v>2327</v>
      </c>
      <c r="AG28" s="731"/>
      <c r="AH28" s="731"/>
      <c r="AI28" s="731"/>
      <c r="AJ28" s="731"/>
      <c r="AK28" s="309"/>
    </row>
    <row r="29" spans="2:48" ht="14.85" customHeight="1">
      <c r="B29" s="251"/>
      <c r="C29" s="251"/>
      <c r="E29" s="333"/>
      <c r="G29" s="334"/>
      <c r="I29" s="333"/>
      <c r="K29" s="334"/>
      <c r="M29" s="333"/>
      <c r="O29" s="334"/>
      <c r="S29" s="362"/>
      <c r="T29" s="362"/>
      <c r="U29" s="362"/>
      <c r="V29" s="362"/>
      <c r="W29" s="362"/>
      <c r="X29" s="362"/>
      <c r="Y29" s="362"/>
      <c r="Z29" s="362"/>
      <c r="AA29" s="362"/>
      <c r="AD29" s="1"/>
      <c r="AK29" s="309">
        <f>SUM(AC43,AE43)</f>
        <v>0</v>
      </c>
    </row>
    <row r="30" spans="2:48" ht="15">
      <c r="B30" s="730" t="str">
        <f>'Translate&amp;Prices&amp;Logo'!$B$174</f>
        <v>Počet kusů</v>
      </c>
      <c r="C30" s="730"/>
      <c r="D30" s="322"/>
      <c r="E30" s="771"/>
      <c r="F30" s="731"/>
      <c r="G30" s="772"/>
      <c r="H30" s="322"/>
      <c r="I30" s="771"/>
      <c r="J30" s="731"/>
      <c r="K30" s="772"/>
      <c r="L30" s="322"/>
      <c r="M30" s="771"/>
      <c r="N30" s="731"/>
      <c r="O30" s="772"/>
      <c r="S30" s="773" t="str">
        <f>'Translate&amp;Prices&amp;Logo'!$B$322</f>
        <v>Spodní vedení délka 2 m (87315)</v>
      </c>
      <c r="T30" s="773"/>
      <c r="U30" s="773"/>
      <c r="V30" s="773"/>
      <c r="W30" s="773"/>
      <c r="X30" s="773"/>
      <c r="Y30" s="773"/>
      <c r="Z30" s="773"/>
      <c r="AA30" s="773"/>
      <c r="AB30" s="322"/>
      <c r="AC30" s="774">
        <f>IF($R$23=1,IF(AG30&gt;0,AG30,AK31),AK31)</f>
        <v>0</v>
      </c>
      <c r="AD30" s="774">
        <f>IF('Posuvné rámečky'!$M$23=1,IF(AI30=0,'Posuvné rámečky'!M27,0),0)</f>
        <v>0</v>
      </c>
      <c r="AE30" s="774"/>
      <c r="AF30" s="343" t="s">
        <v>2327</v>
      </c>
      <c r="AG30" s="731"/>
      <c r="AH30" s="731"/>
      <c r="AI30" s="731"/>
      <c r="AJ30" s="731"/>
      <c r="AK30" s="309"/>
    </row>
    <row r="31" spans="2:48" ht="14.85" customHeight="1">
      <c r="B31" s="251"/>
      <c r="C31" s="251"/>
      <c r="E31" s="333"/>
      <c r="G31" s="334"/>
      <c r="I31" s="333"/>
      <c r="K31" s="334"/>
      <c r="M31" s="333"/>
      <c r="O31" s="334"/>
      <c r="S31" s="362"/>
      <c r="T31" s="362"/>
      <c r="U31" s="362"/>
      <c r="V31" s="362"/>
      <c r="W31" s="362"/>
      <c r="X31" s="362"/>
      <c r="Y31" s="362"/>
      <c r="Z31" s="362"/>
      <c r="AA31" s="362"/>
      <c r="AD31" s="1"/>
      <c r="AK31" s="309">
        <f>SUM(AC43,AE43)</f>
        <v>0</v>
      </c>
    </row>
    <row r="32" spans="2:48" ht="14.85" customHeight="1">
      <c r="B32" s="730" t="str">
        <f>'Translate&amp;Prices&amp;Logo'!$B$177</f>
        <v>Poznámky</v>
      </c>
      <c r="C32" s="730"/>
      <c r="D32" s="322"/>
      <c r="E32" s="778"/>
      <c r="F32" s="578"/>
      <c r="G32" s="779"/>
      <c r="H32" s="322"/>
      <c r="I32" s="778"/>
      <c r="J32" s="578"/>
      <c r="K32" s="779"/>
      <c r="L32" s="322"/>
      <c r="M32" s="778"/>
      <c r="N32" s="578"/>
      <c r="O32" s="779"/>
      <c r="S32" s="773" t="str">
        <f>'Translate&amp;Prices&amp;Logo'!$B$323</f>
        <v>Horní vedení délka 3 m (87312)</v>
      </c>
      <c r="T32" s="773"/>
      <c r="U32" s="773"/>
      <c r="V32" s="773"/>
      <c r="W32" s="773"/>
      <c r="X32" s="773"/>
      <c r="Y32" s="773"/>
      <c r="Z32" s="773"/>
      <c r="AA32" s="773"/>
      <c r="AB32" s="322"/>
      <c r="AC32" s="774">
        <f>IF($R$23=1,IF(AG32&gt;0,AG32,AK33),AK33)</f>
        <v>0</v>
      </c>
      <c r="AD32" s="774">
        <f>IF('Posuvné rámečky'!$M$23=1,IF(AI32=0,'Posuvné rámečky'!M28,0),0)</f>
        <v>0</v>
      </c>
      <c r="AE32" s="774"/>
      <c r="AF32" s="343" t="s">
        <v>2327</v>
      </c>
      <c r="AG32" s="731"/>
      <c r="AH32" s="731"/>
      <c r="AI32" s="731"/>
      <c r="AJ32" s="731"/>
      <c r="AK32" s="309"/>
    </row>
    <row r="33" spans="2:37" ht="14.85" customHeight="1">
      <c r="B33" s="251"/>
      <c r="C33" s="251"/>
      <c r="E33" s="771"/>
      <c r="F33" s="731"/>
      <c r="G33" s="772"/>
      <c r="I33" s="771"/>
      <c r="J33" s="731"/>
      <c r="K33" s="772"/>
      <c r="M33" s="771"/>
      <c r="N33" s="731"/>
      <c r="O33" s="772"/>
      <c r="S33" s="362"/>
      <c r="T33" s="362"/>
      <c r="U33" s="362"/>
      <c r="V33" s="362"/>
      <c r="W33" s="362"/>
      <c r="X33" s="362"/>
      <c r="Y33" s="362"/>
      <c r="Z33" s="362"/>
      <c r="AA33" s="362"/>
      <c r="AD33" s="1"/>
      <c r="AK33" s="309">
        <f>SUM(AD43,AF43)</f>
        <v>0</v>
      </c>
    </row>
    <row r="34" spans="2:37" ht="14.85" customHeight="1">
      <c r="B34" s="251"/>
      <c r="C34" s="251"/>
      <c r="E34" s="333"/>
      <c r="G34" s="334"/>
      <c r="I34" s="333"/>
      <c r="K34" s="334"/>
      <c r="M34" s="333"/>
      <c r="O34" s="334"/>
      <c r="S34" s="773" t="str">
        <f>'Translate&amp;Prices&amp;Logo'!$B$324</f>
        <v>Spodní vedení délka 3 m (87314)</v>
      </c>
      <c r="T34" s="773"/>
      <c r="U34" s="773"/>
      <c r="V34" s="773"/>
      <c r="W34" s="773"/>
      <c r="X34" s="773"/>
      <c r="Y34" s="773"/>
      <c r="Z34" s="773"/>
      <c r="AA34" s="773"/>
      <c r="AB34" s="322"/>
      <c r="AC34" s="774">
        <f>IF($R$23=1,IF(AG34&gt;0,AG34,AK35),AK35)</f>
        <v>0</v>
      </c>
      <c r="AD34" s="774">
        <f>IF('Posuvné rámečky'!$M$23=1,IF(AI34=0,'Posuvné rámečky'!M29,0),0)</f>
        <v>0</v>
      </c>
      <c r="AE34" s="774"/>
      <c r="AF34" s="343" t="s">
        <v>2327</v>
      </c>
      <c r="AG34" s="731"/>
      <c r="AH34" s="731"/>
      <c r="AI34" s="731"/>
      <c r="AJ34" s="731"/>
      <c r="AK34" s="309"/>
    </row>
    <row r="35" spans="2:37" ht="14.85" customHeight="1">
      <c r="B35" s="730" t="str">
        <f>'Translate&amp;Prices&amp;Logo'!$B$172</f>
        <v>Typ profilu</v>
      </c>
      <c r="C35" s="730"/>
      <c r="D35" s="322"/>
      <c r="E35" s="771"/>
      <c r="F35" s="731"/>
      <c r="G35" s="772"/>
      <c r="H35" s="322"/>
      <c r="I35" s="771"/>
      <c r="J35" s="731"/>
      <c r="K35" s="772"/>
      <c r="L35" s="322"/>
      <c r="M35" s="771"/>
      <c r="N35" s="731"/>
      <c r="O35" s="772"/>
      <c r="AD35" s="1"/>
      <c r="AE35" s="1"/>
      <c r="AK35" s="309">
        <f>SUM(AD43,AF43)</f>
        <v>0</v>
      </c>
    </row>
    <row r="36" spans="2:37" ht="14.85" customHeight="1">
      <c r="B36" s="251"/>
      <c r="C36" s="251"/>
      <c r="E36" s="333"/>
      <c r="G36" s="334"/>
      <c r="I36" s="333"/>
      <c r="K36" s="334"/>
      <c r="M36" s="333"/>
      <c r="O36" s="334"/>
      <c r="AD36" s="1"/>
    </row>
    <row r="37" spans="2:37" ht="14.85" customHeight="1">
      <c r="B37" s="730" t="str">
        <f>'Translate&amp;Prices&amp;Logo'!$B$625</f>
        <v>Typ skla/síťky</v>
      </c>
      <c r="C37" s="730"/>
      <c r="D37" s="322"/>
      <c r="E37" s="771"/>
      <c r="F37" s="731"/>
      <c r="G37" s="772"/>
      <c r="H37" s="322"/>
      <c r="I37" s="771"/>
      <c r="J37" s="731"/>
      <c r="K37" s="772"/>
      <c r="L37" s="322"/>
      <c r="M37" s="771"/>
      <c r="N37" s="731"/>
      <c r="O37" s="772"/>
      <c r="AD37" s="342"/>
      <c r="AE37" s="1"/>
    </row>
    <row r="38" spans="2:37" ht="14.85" customHeight="1" thickBot="1">
      <c r="E38" s="335"/>
      <c r="F38" s="336"/>
      <c r="G38" s="337"/>
      <c r="I38" s="335"/>
      <c r="J38" s="336"/>
      <c r="K38" s="337"/>
      <c r="M38" s="335"/>
      <c r="N38" s="336"/>
      <c r="O38" s="337"/>
      <c r="AD38" s="342"/>
      <c r="AE38" s="1"/>
    </row>
    <row r="39" spans="2:37" ht="15" hidden="1" customHeight="1" thickBot="1">
      <c r="D39" s="310" t="s">
        <v>2326</v>
      </c>
      <c r="E39" s="310" t="e">
        <f>VLOOKUP(E35,kombinace_1!A:C,3,0)</f>
        <v>#N/A</v>
      </c>
      <c r="F39" s="310">
        <v>1</v>
      </c>
      <c r="G39" s="310" t="e">
        <f>CONCATENATE(D39,E39,F39)</f>
        <v>#N/A</v>
      </c>
      <c r="H39" s="310" t="s">
        <v>2326</v>
      </c>
      <c r="I39" s="310" t="e">
        <f>VLOOKUP(I35,kombinace_1!A:C,3,0)</f>
        <v>#N/A</v>
      </c>
      <c r="J39" s="310">
        <v>1</v>
      </c>
      <c r="K39" s="310" t="e">
        <f>CONCATENATE(H39,I39,J39)</f>
        <v>#N/A</v>
      </c>
      <c r="L39" s="310" t="s">
        <v>2326</v>
      </c>
      <c r="M39" s="310" t="e">
        <f>VLOOKUP(M35,kombinace_1!A:C,3,0)</f>
        <v>#N/A</v>
      </c>
      <c r="N39" s="310">
        <v>1</v>
      </c>
      <c r="O39" s="310" t="e">
        <f>CONCATENATE(L39,M39,N39)</f>
        <v>#N/A</v>
      </c>
      <c r="V39" s="310"/>
      <c r="W39" s="310"/>
      <c r="AB39" s="310"/>
      <c r="AC39" s="344" t="s">
        <v>839</v>
      </c>
      <c r="AD39" s="344" t="s">
        <v>840</v>
      </c>
      <c r="AE39" s="344" t="s">
        <v>841</v>
      </c>
      <c r="AF39" s="344" t="s">
        <v>842</v>
      </c>
      <c r="AG39" s="344"/>
      <c r="AH39" s="344"/>
    </row>
    <row r="40" spans="2:37" ht="14.85" hidden="1" customHeight="1" thickBot="1">
      <c r="C40" s="345" t="s">
        <v>836</v>
      </c>
      <c r="D40" s="346"/>
      <c r="E40" s="347">
        <f>VLOOKUP(E35,kombinace_posuv!$A:$B,2,0)</f>
        <v>1</v>
      </c>
      <c r="F40" s="347"/>
      <c r="G40" s="347"/>
      <c r="H40" s="347"/>
      <c r="I40" s="347">
        <f>VLOOKUP(I35,kombinace_posuv!$A:$B,2,0)</f>
        <v>1</v>
      </c>
      <c r="J40" s="347"/>
      <c r="K40" s="347"/>
      <c r="L40" s="347"/>
      <c r="M40" s="347">
        <f>VLOOKUP(M35,kombinace_posuv!$A:$B,2,0)</f>
        <v>1</v>
      </c>
      <c r="N40" s="347"/>
      <c r="O40" s="348"/>
      <c r="V40" s="310"/>
      <c r="W40" s="310"/>
      <c r="AB40" s="310"/>
      <c r="AC40" s="310">
        <f>IF(E28=0,0,IF((E28*2)&lt;=2000,1,0))</f>
        <v>0</v>
      </c>
      <c r="AD40" s="310">
        <f>IF(E28=0,0,IF((E28*2)&lt;=2000,0,IF((E28*2)&gt;2000,IF((E28*2)&lt;=3000,1,0))))</f>
        <v>0</v>
      </c>
      <c r="AE40" s="310">
        <f>2*(IF(E28=0,0,IF(E28&lt;1501,0,IF(E28&gt;2000,0,IF(E28&lt;=2000,1,0)))))</f>
        <v>0</v>
      </c>
      <c r="AF40" s="310">
        <f>2*(IF(E28=0,0,IF(E28&lt;2001,0,IF(E28&gt;3000,0,IF(E28&lt;=3000,1,0)))))</f>
        <v>0</v>
      </c>
      <c r="AG40" s="310"/>
      <c r="AH40" s="310"/>
    </row>
    <row r="41" spans="2:37" ht="14.85" hidden="1" customHeight="1">
      <c r="C41" s="1" t="s">
        <v>2328</v>
      </c>
      <c r="E41" s="1">
        <f>IF(E40=2,E30,0)</f>
        <v>0</v>
      </c>
      <c r="I41" s="1">
        <f>IFERROR(IF(I40=2,I30,0),0)</f>
        <v>0</v>
      </c>
      <c r="M41" s="1">
        <f>IFERROR(IF(M40=2,M30,0),0)</f>
        <v>0</v>
      </c>
      <c r="O41" s="47">
        <f>SUM(E41,I41,M41)</f>
        <v>0</v>
      </c>
      <c r="V41" s="310"/>
      <c r="W41" s="310"/>
      <c r="X41" s="310"/>
      <c r="Y41" s="310"/>
      <c r="Z41" s="310"/>
      <c r="AA41" s="310"/>
      <c r="AB41" s="310"/>
      <c r="AC41" s="310">
        <f>IF(I28=0,0,IF((I28*2)&lt;=2000,1,0))</f>
        <v>0</v>
      </c>
      <c r="AD41" s="310">
        <f>IF(I28=0,0,IF((I28*2)&lt;=2000,0,IF((I28*2)&gt;2000,IF((I28*2)&lt;=3000,1,0))))</f>
        <v>0</v>
      </c>
      <c r="AE41" s="310">
        <f>2*(IF(I28=0,0,IF(I28&lt;1501,0,IF(I28&gt;2000,0,IF(I28&lt;=2000,1,0)))))</f>
        <v>0</v>
      </c>
      <c r="AF41" s="310">
        <f>2*(IF(I28=0,0,IF(I28&lt;2001,0,IF(I28&gt;3000,0,IF(I28&lt;=3000,1,0)))))</f>
        <v>0</v>
      </c>
      <c r="AG41" s="310"/>
      <c r="AH41" s="310"/>
    </row>
    <row r="42" spans="2:37" ht="14.85" hidden="1" customHeight="1" thickBot="1">
      <c r="C42" s="1" t="s">
        <v>2329</v>
      </c>
      <c r="E42" s="1">
        <f>IF(E40=1,E30,0)</f>
        <v>0</v>
      </c>
      <c r="I42" s="1">
        <f>IFERROR(IF(I40=1,I30,0),0)</f>
        <v>0</v>
      </c>
      <c r="M42" s="1">
        <f>IFERROR(IF(M40=1,M30,0),0)</f>
        <v>0</v>
      </c>
      <c r="O42" s="52">
        <f>SUM(E42,I42,M42)</f>
        <v>0</v>
      </c>
      <c r="W42" s="310"/>
      <c r="X42" s="310"/>
      <c r="Y42" s="310"/>
      <c r="Z42" s="310"/>
      <c r="AA42" s="310"/>
      <c r="AB42" s="310"/>
      <c r="AC42" s="310">
        <f>IF(M28=0,0,IF((M28*2)&lt;=2000,1,0))</f>
        <v>0</v>
      </c>
      <c r="AD42" s="310">
        <f>IF(M28=0,0,IF((M28*2)&lt;=2000,0,IF((M28*2)&gt;2000,IF((M28*2)&lt;=3000,1,0))))</f>
        <v>0</v>
      </c>
      <c r="AE42" s="310">
        <f>2*(IF(M28=0,0,IF(M28&lt;1501,0,IF(M28&gt;2000,0,IF(M28&lt;=2000,1,0)))))</f>
        <v>0</v>
      </c>
      <c r="AF42" s="310">
        <f>2*(IF(M28=0,0,IF(M28&lt;2001,0,IF(M28&gt;3000,0,IF(M28&lt;=3000,1,0)))))</f>
        <v>0</v>
      </c>
      <c r="AG42" s="310"/>
      <c r="AH42" s="310"/>
    </row>
    <row r="43" spans="2:37" ht="14.85" hidden="1" customHeight="1">
      <c r="W43" s="310"/>
      <c r="X43" s="310"/>
      <c r="Y43" s="310"/>
      <c r="Z43" s="310"/>
      <c r="AA43" s="310"/>
      <c r="AB43" s="310"/>
      <c r="AC43" s="310">
        <f>SUM(AC40:AC42)</f>
        <v>0</v>
      </c>
      <c r="AD43" s="310">
        <f>SUM(AD40:AD42)</f>
        <v>0</v>
      </c>
      <c r="AE43" s="310">
        <f>SUM(AE40:AE42)</f>
        <v>0</v>
      </c>
      <c r="AF43" s="310">
        <f>SUM(AF40:AF42)</f>
        <v>0</v>
      </c>
      <c r="AG43" s="310"/>
      <c r="AH43" s="310"/>
    </row>
    <row r="44" spans="2:37" ht="14.85" hidden="1" customHeight="1">
      <c r="W44" s="310"/>
      <c r="X44" s="310"/>
      <c r="Y44" s="310"/>
      <c r="Z44" s="310"/>
      <c r="AA44" s="310"/>
      <c r="AB44" s="310"/>
      <c r="AC44" s="310"/>
      <c r="AD44" s="310"/>
      <c r="AE44" s="310"/>
      <c r="AF44" s="310"/>
      <c r="AG44" s="310"/>
      <c r="AH44" s="310"/>
    </row>
    <row r="45" spans="2:37" ht="14.85" customHeight="1"/>
    <row r="46" spans="2:37" ht="14.85" customHeight="1">
      <c r="O46" s="353"/>
      <c r="P46" s="353"/>
      <c r="Q46" s="353"/>
      <c r="R46" s="353"/>
      <c r="S46" s="353"/>
      <c r="T46" s="353"/>
      <c r="U46" s="353"/>
      <c r="V46" s="354"/>
    </row>
    <row r="47" spans="2:37" ht="14.85" customHeight="1">
      <c r="K47" s="770" t="str">
        <f>'Translate&amp;Prices&amp;Logo'!$B$320</f>
        <v>Standardně jsou rámečky připraveny pro posuvné kování H27AL (nosnost 25 kg na rámeček) a H37AL (nosnost 35 kg na rámeček).</v>
      </c>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row>
    <row r="48" spans="2:37" ht="14.85" customHeight="1">
      <c r="K48" s="770" t="str">
        <f>'Translate&amp;Prices&amp;Logo'!$B$319</f>
        <v>Výška rámečku je standardně o 6 mm menší, než uvedená vnitřní výška skříňky.</v>
      </c>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row>
    <row r="49" spans="5:35" ht="14.85" customHeight="1">
      <c r="K49" s="770" t="str">
        <f>'Translate&amp;Prices&amp;Logo'!$B$330</f>
        <v>Cena za posuvné rámečky je shodná jako cena za běžné rámečky.</v>
      </c>
      <c r="L49" s="770"/>
      <c r="M49" s="770"/>
      <c r="N49" s="770"/>
      <c r="O49" s="770"/>
      <c r="P49" s="770"/>
      <c r="Q49" s="770"/>
      <c r="R49" s="770"/>
      <c r="S49" s="770"/>
      <c r="T49" s="770"/>
      <c r="U49" s="770"/>
      <c r="V49" s="770"/>
      <c r="W49" s="770"/>
      <c r="X49" s="770"/>
      <c r="Y49" s="770"/>
      <c r="Z49" s="770"/>
      <c r="AA49" s="770"/>
      <c r="AB49" s="770"/>
      <c r="AC49" s="770"/>
      <c r="AD49" s="770"/>
      <c r="AE49" s="770"/>
      <c r="AF49" s="770"/>
      <c r="AG49" s="770"/>
      <c r="AH49" s="770"/>
      <c r="AI49" s="770"/>
    </row>
    <row r="50" spans="5:35" ht="14.85" customHeight="1"/>
    <row r="54" spans="5:35" ht="14.85" hidden="1" customHeight="1">
      <c r="E54" s="318" t="e">
        <f t="array" aca="1" ref="E54:E111" ca="1">IF(OR(E35=kombinace_1!A15,E35=kombinace_1!A16,E35=kombinace_1!A18,E35=kombinace_1!A23,E35=kombinace_1!A24,E35=kombinace_1!A25,E35=kombinace_1!A26),_corleone,INDIRECT($G$39))</f>
        <v>#N/A</v>
      </c>
      <c r="I54" s="1" t="e">
        <f t="array" aca="1" ref="I54:I111" ca="1">IF(OR(I35=kombinace_1!A15,I35=kombinace_1!A16,I35=kombinace_1!A18,I35=kombinace_1!A23,I35=kombinace_1!A24,I35=kombinace_1!A25,I35=kombinace_1!A26),_corleone,INDIRECT($K$39))</f>
        <v>#N/A</v>
      </c>
      <c r="M54" s="1" t="e">
        <f t="array" aca="1" ref="M54:M111" ca="1">IF(OR(M35=kombinace_1!A15,M35=kombinace_1!A16,M35=kombinace_1!A18,M35=kombinace_1!A23,M35=kombinace_1!A24,M35=kombinace_1!A25,M35=kombinace_1!A26),_corleone,INDIRECT($O$39))</f>
        <v>#N/A</v>
      </c>
    </row>
    <row r="55" spans="5:35" ht="14.85" hidden="1" customHeight="1">
      <c r="E55" s="318" t="e">
        <f ca="1"/>
        <v>#N/A</v>
      </c>
      <c r="I55" s="1" t="e">
        <f ca="1"/>
        <v>#N/A</v>
      </c>
      <c r="M55" s="1" t="e">
        <f ca="1"/>
        <v>#N/A</v>
      </c>
    </row>
    <row r="56" spans="5:35" ht="14.85" hidden="1" customHeight="1">
      <c r="E56" s="318" t="e">
        <f ca="1"/>
        <v>#N/A</v>
      </c>
      <c r="I56" s="1" t="e">
        <f ca="1"/>
        <v>#N/A</v>
      </c>
      <c r="M56" s="1" t="e">
        <f ca="1"/>
        <v>#N/A</v>
      </c>
    </row>
    <row r="57" spans="5:35" ht="14.85" hidden="1" customHeight="1">
      <c r="E57" s="318" t="e">
        <f ca="1"/>
        <v>#N/A</v>
      </c>
      <c r="I57" s="1" t="e">
        <f ca="1"/>
        <v>#N/A</v>
      </c>
      <c r="M57" s="1" t="e">
        <f ca="1"/>
        <v>#N/A</v>
      </c>
    </row>
    <row r="58" spans="5:35" ht="14.85" hidden="1" customHeight="1">
      <c r="E58" s="318" t="e">
        <f ca="1"/>
        <v>#N/A</v>
      </c>
      <c r="I58" s="1" t="e">
        <f ca="1"/>
        <v>#N/A</v>
      </c>
      <c r="M58" s="1" t="e">
        <f ca="1"/>
        <v>#N/A</v>
      </c>
    </row>
    <row r="59" spans="5:35" ht="14.85" hidden="1" customHeight="1">
      <c r="E59" s="318" t="e">
        <f ca="1"/>
        <v>#N/A</v>
      </c>
      <c r="I59" s="1" t="e">
        <f ca="1"/>
        <v>#N/A</v>
      </c>
      <c r="M59" s="1" t="e">
        <f ca="1"/>
        <v>#N/A</v>
      </c>
    </row>
    <row r="60" spans="5:35" ht="14.85" hidden="1" customHeight="1">
      <c r="E60" s="318" t="e">
        <f ca="1"/>
        <v>#N/A</v>
      </c>
      <c r="I60" s="1" t="e">
        <f ca="1"/>
        <v>#N/A</v>
      </c>
      <c r="M60" s="1" t="e">
        <f ca="1"/>
        <v>#N/A</v>
      </c>
    </row>
    <row r="61" spans="5:35" ht="14.85" hidden="1" customHeight="1">
      <c r="E61" s="318" t="e">
        <f ca="1"/>
        <v>#N/A</v>
      </c>
      <c r="I61" s="1" t="e">
        <f ca="1"/>
        <v>#N/A</v>
      </c>
      <c r="M61" s="1" t="e">
        <f ca="1"/>
        <v>#N/A</v>
      </c>
    </row>
    <row r="62" spans="5:35" ht="14.85" hidden="1" customHeight="1">
      <c r="E62" s="318" t="e">
        <f ca="1"/>
        <v>#N/A</v>
      </c>
      <c r="I62" s="1" t="e">
        <f ca="1"/>
        <v>#N/A</v>
      </c>
      <c r="M62" s="1" t="e">
        <f ca="1"/>
        <v>#N/A</v>
      </c>
    </row>
    <row r="63" spans="5:35" ht="14.85" hidden="1" customHeight="1">
      <c r="E63" s="318" t="e">
        <f ca="1"/>
        <v>#N/A</v>
      </c>
      <c r="I63" s="1" t="e">
        <f ca="1"/>
        <v>#N/A</v>
      </c>
      <c r="M63" s="1" t="e">
        <f ca="1"/>
        <v>#N/A</v>
      </c>
    </row>
    <row r="64" spans="5:35" ht="14.85" hidden="1" customHeight="1">
      <c r="E64" s="318" t="e">
        <f ca="1"/>
        <v>#N/A</v>
      </c>
      <c r="I64" s="1" t="e">
        <f ca="1"/>
        <v>#N/A</v>
      </c>
      <c r="M64" s="1" t="e">
        <f ca="1"/>
        <v>#N/A</v>
      </c>
    </row>
    <row r="65" spans="5:13" ht="14.85" hidden="1" customHeight="1">
      <c r="E65" s="318" t="e">
        <f ca="1"/>
        <v>#N/A</v>
      </c>
      <c r="I65" s="1" t="e">
        <f ca="1"/>
        <v>#N/A</v>
      </c>
      <c r="M65" s="1" t="e">
        <f ca="1"/>
        <v>#N/A</v>
      </c>
    </row>
    <row r="66" spans="5:13" ht="14.85" hidden="1" customHeight="1">
      <c r="E66" s="318" t="e">
        <f ca="1"/>
        <v>#N/A</v>
      </c>
      <c r="I66" s="1" t="e">
        <f ca="1"/>
        <v>#N/A</v>
      </c>
      <c r="M66" s="1" t="e">
        <f ca="1"/>
        <v>#N/A</v>
      </c>
    </row>
    <row r="67" spans="5:13" ht="14.85" hidden="1" customHeight="1">
      <c r="E67" s="318" t="e">
        <f ca="1"/>
        <v>#N/A</v>
      </c>
      <c r="I67" s="1" t="e">
        <f ca="1"/>
        <v>#N/A</v>
      </c>
      <c r="M67" s="1" t="e">
        <f ca="1"/>
        <v>#N/A</v>
      </c>
    </row>
    <row r="68" spans="5:13" ht="14.85" hidden="1" customHeight="1">
      <c r="E68" s="318" t="e">
        <f ca="1"/>
        <v>#N/A</v>
      </c>
      <c r="I68" s="1" t="e">
        <f ca="1"/>
        <v>#N/A</v>
      </c>
      <c r="M68" s="1" t="e">
        <f ca="1"/>
        <v>#N/A</v>
      </c>
    </row>
    <row r="69" spans="5:13" ht="14.85" hidden="1" customHeight="1">
      <c r="E69" s="318" t="e">
        <f ca="1"/>
        <v>#N/A</v>
      </c>
      <c r="I69" s="1" t="e">
        <f ca="1"/>
        <v>#N/A</v>
      </c>
      <c r="M69" s="1" t="e">
        <f ca="1"/>
        <v>#N/A</v>
      </c>
    </row>
    <row r="70" spans="5:13" ht="14.85" hidden="1" customHeight="1">
      <c r="E70" s="318" t="e">
        <f ca="1"/>
        <v>#N/A</v>
      </c>
      <c r="I70" s="1" t="e">
        <f ca="1"/>
        <v>#N/A</v>
      </c>
      <c r="M70" s="1" t="e">
        <f ca="1"/>
        <v>#N/A</v>
      </c>
    </row>
    <row r="71" spans="5:13" ht="14.85" hidden="1" customHeight="1">
      <c r="E71" s="318" t="e">
        <f ca="1"/>
        <v>#N/A</v>
      </c>
      <c r="I71" s="1" t="e">
        <f ca="1"/>
        <v>#N/A</v>
      </c>
      <c r="M71" s="1" t="e">
        <f ca="1"/>
        <v>#N/A</v>
      </c>
    </row>
    <row r="72" spans="5:13" ht="14.85" hidden="1" customHeight="1">
      <c r="E72" s="318" t="e">
        <f ca="1"/>
        <v>#N/A</v>
      </c>
      <c r="I72" s="1" t="e">
        <f ca="1"/>
        <v>#N/A</v>
      </c>
      <c r="M72" s="1" t="e">
        <f ca="1"/>
        <v>#N/A</v>
      </c>
    </row>
    <row r="73" spans="5:13" ht="14.85" hidden="1" customHeight="1">
      <c r="E73" s="318" t="e">
        <f ca="1"/>
        <v>#N/A</v>
      </c>
      <c r="I73" s="1" t="e">
        <f ca="1"/>
        <v>#N/A</v>
      </c>
      <c r="M73" s="1" t="e">
        <f ca="1"/>
        <v>#N/A</v>
      </c>
    </row>
    <row r="74" spans="5:13" ht="14.85" hidden="1" customHeight="1">
      <c r="E74" s="318" t="e">
        <f ca="1"/>
        <v>#N/A</v>
      </c>
      <c r="I74" s="1" t="e">
        <f ca="1"/>
        <v>#N/A</v>
      </c>
      <c r="M74" s="1" t="e">
        <f ca="1"/>
        <v>#N/A</v>
      </c>
    </row>
    <row r="75" spans="5:13" ht="14.85" hidden="1" customHeight="1">
      <c r="E75" s="318" t="e">
        <f ca="1"/>
        <v>#N/A</v>
      </c>
      <c r="I75" s="1" t="e">
        <f ca="1"/>
        <v>#N/A</v>
      </c>
      <c r="M75" s="1" t="e">
        <f ca="1"/>
        <v>#N/A</v>
      </c>
    </row>
    <row r="76" spans="5:13" ht="14.85" hidden="1" customHeight="1">
      <c r="E76" s="318" t="e">
        <f ca="1"/>
        <v>#N/A</v>
      </c>
      <c r="I76" s="1" t="e">
        <f ca="1"/>
        <v>#N/A</v>
      </c>
      <c r="M76" s="1" t="e">
        <f ca="1"/>
        <v>#N/A</v>
      </c>
    </row>
    <row r="77" spans="5:13" ht="14.85" hidden="1" customHeight="1">
      <c r="E77" s="318" t="e">
        <f ca="1"/>
        <v>#N/A</v>
      </c>
      <c r="I77" s="1" t="e">
        <f ca="1"/>
        <v>#N/A</v>
      </c>
      <c r="M77" s="1" t="e">
        <f ca="1"/>
        <v>#N/A</v>
      </c>
    </row>
    <row r="78" spans="5:13" ht="14.85" hidden="1" customHeight="1">
      <c r="E78" s="318" t="e">
        <f ca="1"/>
        <v>#N/A</v>
      </c>
      <c r="I78" s="1" t="e">
        <f ca="1"/>
        <v>#N/A</v>
      </c>
      <c r="M78" s="1" t="e">
        <f ca="1"/>
        <v>#N/A</v>
      </c>
    </row>
    <row r="79" spans="5:13" ht="14.85" hidden="1" customHeight="1">
      <c r="E79" s="318" t="e">
        <f ca="1"/>
        <v>#N/A</v>
      </c>
      <c r="I79" s="1" t="e">
        <f ca="1"/>
        <v>#N/A</v>
      </c>
      <c r="M79" s="1" t="e">
        <f ca="1"/>
        <v>#N/A</v>
      </c>
    </row>
    <row r="80" spans="5:13" ht="14.85" hidden="1" customHeight="1">
      <c r="E80" s="318" t="e">
        <f ca="1"/>
        <v>#N/A</v>
      </c>
      <c r="I80" s="1" t="e">
        <f ca="1"/>
        <v>#N/A</v>
      </c>
      <c r="M80" s="1" t="e">
        <f ca="1"/>
        <v>#N/A</v>
      </c>
    </row>
    <row r="81" spans="5:13" ht="14.85" hidden="1" customHeight="1">
      <c r="E81" s="318" t="e">
        <f ca="1"/>
        <v>#N/A</v>
      </c>
      <c r="I81" s="1" t="e">
        <f ca="1"/>
        <v>#N/A</v>
      </c>
      <c r="M81" s="1" t="e">
        <f ca="1"/>
        <v>#N/A</v>
      </c>
    </row>
    <row r="82" spans="5:13" ht="14.85" hidden="1" customHeight="1">
      <c r="E82" s="318" t="e">
        <f ca="1"/>
        <v>#N/A</v>
      </c>
      <c r="I82" s="1" t="e">
        <f ca="1"/>
        <v>#N/A</v>
      </c>
      <c r="M82" s="1" t="e">
        <f ca="1"/>
        <v>#N/A</v>
      </c>
    </row>
    <row r="83" spans="5:13" ht="14.85" hidden="1" customHeight="1">
      <c r="E83" s="318" t="e">
        <f ca="1"/>
        <v>#N/A</v>
      </c>
      <c r="I83" s="1" t="e">
        <f ca="1"/>
        <v>#N/A</v>
      </c>
      <c r="M83" s="1" t="e">
        <f ca="1"/>
        <v>#N/A</v>
      </c>
    </row>
    <row r="84" spans="5:13" ht="14.85" hidden="1" customHeight="1">
      <c r="E84" s="318" t="e">
        <f ca="1"/>
        <v>#N/A</v>
      </c>
      <c r="I84" s="1" t="e">
        <f ca="1"/>
        <v>#N/A</v>
      </c>
      <c r="M84" s="1" t="e">
        <f ca="1"/>
        <v>#N/A</v>
      </c>
    </row>
    <row r="85" spans="5:13" ht="14.85" hidden="1" customHeight="1">
      <c r="E85" s="318" t="e">
        <f ca="1"/>
        <v>#N/A</v>
      </c>
      <c r="I85" s="1" t="e">
        <f ca="1"/>
        <v>#N/A</v>
      </c>
      <c r="M85" s="1" t="e">
        <f ca="1"/>
        <v>#N/A</v>
      </c>
    </row>
    <row r="86" spans="5:13" ht="14.85" hidden="1" customHeight="1">
      <c r="E86" s="318" t="e">
        <f ca="1"/>
        <v>#N/A</v>
      </c>
      <c r="I86" s="1" t="e">
        <f ca="1"/>
        <v>#N/A</v>
      </c>
      <c r="M86" s="1" t="e">
        <f ca="1"/>
        <v>#N/A</v>
      </c>
    </row>
    <row r="87" spans="5:13" ht="14.85" hidden="1" customHeight="1">
      <c r="E87" s="318" t="e">
        <f ca="1"/>
        <v>#N/A</v>
      </c>
      <c r="I87" s="1" t="e">
        <f ca="1"/>
        <v>#N/A</v>
      </c>
      <c r="M87" s="1" t="e">
        <f ca="1"/>
        <v>#N/A</v>
      </c>
    </row>
    <row r="88" spans="5:13" ht="14.85" hidden="1" customHeight="1">
      <c r="E88" s="318" t="e">
        <f ca="1"/>
        <v>#N/A</v>
      </c>
      <c r="I88" s="1" t="e">
        <f ca="1"/>
        <v>#N/A</v>
      </c>
      <c r="M88" s="1" t="e">
        <f ca="1"/>
        <v>#N/A</v>
      </c>
    </row>
    <row r="89" spans="5:13" ht="14.85" hidden="1" customHeight="1">
      <c r="E89" s="318" t="e">
        <f ca="1"/>
        <v>#N/A</v>
      </c>
      <c r="I89" s="1" t="e">
        <f ca="1"/>
        <v>#N/A</v>
      </c>
      <c r="M89" s="1" t="e">
        <f ca="1"/>
        <v>#N/A</v>
      </c>
    </row>
    <row r="90" spans="5:13" ht="14.85" hidden="1" customHeight="1">
      <c r="E90" s="318" t="e">
        <f ca="1"/>
        <v>#N/A</v>
      </c>
      <c r="I90" s="1" t="e">
        <f ca="1"/>
        <v>#N/A</v>
      </c>
      <c r="M90" s="1" t="e">
        <f ca="1"/>
        <v>#N/A</v>
      </c>
    </row>
    <row r="91" spans="5:13" ht="14.85" hidden="1" customHeight="1">
      <c r="E91" s="318" t="e">
        <f ca="1"/>
        <v>#N/A</v>
      </c>
      <c r="I91" s="1" t="e">
        <f ca="1"/>
        <v>#N/A</v>
      </c>
      <c r="M91" s="1" t="e">
        <f ca="1"/>
        <v>#N/A</v>
      </c>
    </row>
    <row r="92" spans="5:13" ht="14.85" hidden="1" customHeight="1">
      <c r="E92" s="318" t="e">
        <f ca="1"/>
        <v>#N/A</v>
      </c>
      <c r="I92" s="1" t="e">
        <f ca="1"/>
        <v>#N/A</v>
      </c>
      <c r="M92" s="1" t="e">
        <f ca="1"/>
        <v>#N/A</v>
      </c>
    </row>
    <row r="93" spans="5:13" ht="14.85" hidden="1" customHeight="1">
      <c r="E93" s="318" t="e">
        <f ca="1"/>
        <v>#N/A</v>
      </c>
      <c r="I93" s="1" t="e">
        <f ca="1"/>
        <v>#N/A</v>
      </c>
      <c r="M93" s="1" t="e">
        <f ca="1"/>
        <v>#N/A</v>
      </c>
    </row>
    <row r="94" spans="5:13" ht="14.85" hidden="1" customHeight="1">
      <c r="E94" s="318" t="e">
        <f ca="1"/>
        <v>#N/A</v>
      </c>
      <c r="I94" s="1" t="e">
        <f ca="1"/>
        <v>#N/A</v>
      </c>
      <c r="M94" s="1" t="e">
        <f ca="1"/>
        <v>#N/A</v>
      </c>
    </row>
    <row r="95" spans="5:13" ht="14.85" hidden="1" customHeight="1">
      <c r="E95" s="318" t="e">
        <f ca="1"/>
        <v>#N/A</v>
      </c>
      <c r="I95" s="1" t="e">
        <f ca="1"/>
        <v>#N/A</v>
      </c>
      <c r="M95" s="1" t="e">
        <f ca="1"/>
        <v>#N/A</v>
      </c>
    </row>
    <row r="96" spans="5:13" ht="14.85" hidden="1" customHeight="1">
      <c r="E96" s="318" t="e">
        <f ca="1"/>
        <v>#N/A</v>
      </c>
      <c r="I96" s="1" t="e">
        <f ca="1"/>
        <v>#N/A</v>
      </c>
      <c r="M96" s="1" t="e">
        <f ca="1"/>
        <v>#N/A</v>
      </c>
    </row>
    <row r="97" spans="5:13" ht="14.85" hidden="1" customHeight="1">
      <c r="E97" s="318" t="e">
        <f ca="1"/>
        <v>#N/A</v>
      </c>
      <c r="I97" s="1" t="e">
        <f ca="1"/>
        <v>#N/A</v>
      </c>
      <c r="M97" s="1" t="e">
        <f ca="1"/>
        <v>#N/A</v>
      </c>
    </row>
    <row r="98" spans="5:13" ht="14.85" hidden="1" customHeight="1">
      <c r="E98" s="318" t="e">
        <f ca="1"/>
        <v>#N/A</v>
      </c>
      <c r="I98" s="1" t="e">
        <f ca="1"/>
        <v>#N/A</v>
      </c>
      <c r="M98" s="1" t="e">
        <f ca="1"/>
        <v>#N/A</v>
      </c>
    </row>
    <row r="99" spans="5:13" ht="14.85" hidden="1" customHeight="1">
      <c r="E99" s="318" t="e">
        <f ca="1"/>
        <v>#N/A</v>
      </c>
      <c r="I99" s="1" t="e">
        <f ca="1"/>
        <v>#N/A</v>
      </c>
      <c r="M99" s="1" t="e">
        <f ca="1"/>
        <v>#N/A</v>
      </c>
    </row>
    <row r="100" spans="5:13" ht="14.85" hidden="1" customHeight="1">
      <c r="E100" s="318" t="e">
        <f ca="1"/>
        <v>#N/A</v>
      </c>
      <c r="I100" s="1" t="e">
        <f ca="1"/>
        <v>#N/A</v>
      </c>
      <c r="M100" s="1" t="e">
        <f ca="1"/>
        <v>#N/A</v>
      </c>
    </row>
    <row r="101" spans="5:13" ht="14.85" hidden="1" customHeight="1">
      <c r="E101" s="318" t="e">
        <f ca="1"/>
        <v>#N/A</v>
      </c>
      <c r="I101" s="1" t="e">
        <f ca="1"/>
        <v>#N/A</v>
      </c>
      <c r="M101" s="1" t="e">
        <f ca="1"/>
        <v>#N/A</v>
      </c>
    </row>
    <row r="102" spans="5:13" ht="14.85" hidden="1" customHeight="1">
      <c r="E102" s="318" t="e">
        <f ca="1"/>
        <v>#N/A</v>
      </c>
      <c r="I102" s="1" t="e">
        <f ca="1"/>
        <v>#N/A</v>
      </c>
      <c r="M102" s="1" t="e">
        <f ca="1"/>
        <v>#N/A</v>
      </c>
    </row>
    <row r="103" spans="5:13" ht="14.85" hidden="1" customHeight="1">
      <c r="E103" s="1" t="e">
        <f ca="1"/>
        <v>#N/A</v>
      </c>
      <c r="I103" s="1" t="e">
        <f ca="1"/>
        <v>#N/A</v>
      </c>
      <c r="M103" s="1" t="e">
        <f ca="1"/>
        <v>#N/A</v>
      </c>
    </row>
    <row r="104" spans="5:13" ht="14.85" hidden="1" customHeight="1">
      <c r="E104" s="1" t="e">
        <f ca="1"/>
        <v>#N/A</v>
      </c>
      <c r="I104" s="1" t="e">
        <f ca="1"/>
        <v>#N/A</v>
      </c>
      <c r="M104" s="1" t="e">
        <f ca="1"/>
        <v>#N/A</v>
      </c>
    </row>
    <row r="105" spans="5:13" ht="14.85" hidden="1" customHeight="1">
      <c r="E105" s="1" t="e">
        <f ca="1"/>
        <v>#N/A</v>
      </c>
      <c r="I105" s="1" t="e">
        <f ca="1"/>
        <v>#N/A</v>
      </c>
      <c r="M105" s="1" t="e">
        <f ca="1"/>
        <v>#N/A</v>
      </c>
    </row>
    <row r="106" spans="5:13" ht="14.85" hidden="1" customHeight="1">
      <c r="E106" s="1" t="e">
        <f ca="1"/>
        <v>#N/A</v>
      </c>
      <c r="I106" s="1" t="e">
        <f ca="1"/>
        <v>#N/A</v>
      </c>
      <c r="M106" s="1" t="e">
        <f ca="1"/>
        <v>#N/A</v>
      </c>
    </row>
    <row r="107" spans="5:13" ht="14.85" hidden="1" customHeight="1">
      <c r="E107" s="1" t="e">
        <f ca="1"/>
        <v>#N/A</v>
      </c>
      <c r="I107" s="1" t="e">
        <f ca="1"/>
        <v>#N/A</v>
      </c>
      <c r="M107" s="1" t="e">
        <f ca="1"/>
        <v>#N/A</v>
      </c>
    </row>
    <row r="108" spans="5:13" ht="14.85" hidden="1" customHeight="1">
      <c r="E108" s="1" t="e">
        <f ca="1"/>
        <v>#N/A</v>
      </c>
      <c r="I108" s="1" t="e">
        <f ca="1"/>
        <v>#N/A</v>
      </c>
      <c r="M108" s="1" t="e">
        <f ca="1"/>
        <v>#N/A</v>
      </c>
    </row>
    <row r="109" spans="5:13" ht="14.85" hidden="1" customHeight="1">
      <c r="E109" s="1" t="e">
        <f ca="1"/>
        <v>#N/A</v>
      </c>
      <c r="I109" s="1" t="e">
        <f ca="1"/>
        <v>#N/A</v>
      </c>
      <c r="M109" s="1" t="e">
        <f ca="1"/>
        <v>#N/A</v>
      </c>
    </row>
    <row r="110" spans="5:13" ht="14.85" hidden="1" customHeight="1">
      <c r="E110" s="1" t="e">
        <f ca="1"/>
        <v>#N/A</v>
      </c>
      <c r="I110" s="1" t="e">
        <f ca="1"/>
        <v>#N/A</v>
      </c>
      <c r="M110" s="1" t="e">
        <f ca="1"/>
        <v>#N/A</v>
      </c>
    </row>
    <row r="111" spans="5:13" ht="14.85" hidden="1" customHeight="1">
      <c r="E111" s="1" t="e">
        <f ca="1"/>
        <v>#N/A</v>
      </c>
      <c r="I111" s="1" t="e">
        <f ca="1"/>
        <v>#N/A</v>
      </c>
      <c r="M111" s="1" t="e">
        <f ca="1"/>
        <v>#N/A</v>
      </c>
    </row>
  </sheetData>
  <sheetProtection algorithmName="SHA-512" hashValue="0gijlcAsZC/kxFypMPilUKy68N54UD+QKqxTh42pCZZ4h0kb/TUqjQ0Mjj8bqMFGaHJhWfZ2nQK1/CiVpqL1Kg==" saltValue="9FxdWaF/CAfzaRDA8KUE0w==" spinCount="100000" sheet="1" objects="1" scenarios="1" selectLockedCells="1"/>
  <mergeCells count="89">
    <mergeCell ref="K49:AI49"/>
    <mergeCell ref="AH2:AK3"/>
    <mergeCell ref="P4:AC5"/>
    <mergeCell ref="C9:G9"/>
    <mergeCell ref="C11:G11"/>
    <mergeCell ref="C13:G13"/>
    <mergeCell ref="I9:N9"/>
    <mergeCell ref="S9:T9"/>
    <mergeCell ref="V9:W9"/>
    <mergeCell ref="S7:AA7"/>
    <mergeCell ref="I11:N11"/>
    <mergeCell ref="I13:N13"/>
    <mergeCell ref="P2:AB3"/>
    <mergeCell ref="C15:G15"/>
    <mergeCell ref="C17:G17"/>
    <mergeCell ref="Y17:Z17"/>
    <mergeCell ref="Y9:Z9"/>
    <mergeCell ref="AB9:AC9"/>
    <mergeCell ref="Y11:Z11"/>
    <mergeCell ref="C19:G19"/>
    <mergeCell ref="S19:T19"/>
    <mergeCell ref="V19:W19"/>
    <mergeCell ref="V11:W11"/>
    <mergeCell ref="S13:T13"/>
    <mergeCell ref="V13:W13"/>
    <mergeCell ref="S15:T15"/>
    <mergeCell ref="V15:W15"/>
    <mergeCell ref="S17:T17"/>
    <mergeCell ref="V17:W17"/>
    <mergeCell ref="S11:T11"/>
    <mergeCell ref="AB11:AC11"/>
    <mergeCell ref="I15:N15"/>
    <mergeCell ref="I17:N17"/>
    <mergeCell ref="I19:N19"/>
    <mergeCell ref="M24:O24"/>
    <mergeCell ref="I24:K24"/>
    <mergeCell ref="Y13:Z13"/>
    <mergeCell ref="AB13:AC13"/>
    <mergeCell ref="Y15:Z15"/>
    <mergeCell ref="AB15:AC15"/>
    <mergeCell ref="AG22:AJ22"/>
    <mergeCell ref="AC22:AE22"/>
    <mergeCell ref="S22:AB22"/>
    <mergeCell ref="AB17:AC17"/>
    <mergeCell ref="B26:C26"/>
    <mergeCell ref="AG26:AJ26"/>
    <mergeCell ref="S28:AA28"/>
    <mergeCell ref="AG28:AJ28"/>
    <mergeCell ref="E30:G30"/>
    <mergeCell ref="E26:G26"/>
    <mergeCell ref="I26:K26"/>
    <mergeCell ref="M26:O26"/>
    <mergeCell ref="AC28:AE28"/>
    <mergeCell ref="M32:O33"/>
    <mergeCell ref="B28:C28"/>
    <mergeCell ref="B30:C30"/>
    <mergeCell ref="I30:K30"/>
    <mergeCell ref="M30:O30"/>
    <mergeCell ref="E28:G28"/>
    <mergeCell ref="I28:K28"/>
    <mergeCell ref="M28:O28"/>
    <mergeCell ref="B37:C37"/>
    <mergeCell ref="B32:C32"/>
    <mergeCell ref="B35:C35"/>
    <mergeCell ref="E32:G33"/>
    <mergeCell ref="I32:K33"/>
    <mergeCell ref="AG24:AJ24"/>
    <mergeCell ref="E24:G24"/>
    <mergeCell ref="S24:AA24"/>
    <mergeCell ref="AC24:AE24"/>
    <mergeCell ref="S26:AA26"/>
    <mergeCell ref="AC26:AE26"/>
    <mergeCell ref="AG34:AJ34"/>
    <mergeCell ref="S30:AA30"/>
    <mergeCell ref="AC30:AE30"/>
    <mergeCell ref="AG30:AJ30"/>
    <mergeCell ref="S32:AA32"/>
    <mergeCell ref="AC32:AE32"/>
    <mergeCell ref="AG32:AJ32"/>
    <mergeCell ref="S34:AA34"/>
    <mergeCell ref="AC34:AE34"/>
    <mergeCell ref="K48:AI48"/>
    <mergeCell ref="M35:O35"/>
    <mergeCell ref="E37:G37"/>
    <mergeCell ref="I37:K37"/>
    <mergeCell ref="M37:O37"/>
    <mergeCell ref="E35:G35"/>
    <mergeCell ref="I35:K35"/>
    <mergeCell ref="K47:AI47"/>
  </mergeCells>
  <conditionalFormatting sqref="AC24:AE24 AC26:AE26 AC28:AE28 AC30:AE30 AC32:AE32 AC34:AE34">
    <cfRule type="cellIs" dxfId="110" priority="1" operator="equal">
      <formula>0</formula>
    </cfRule>
  </conditionalFormatting>
  <conditionalFormatting sqref="AF24 AF26 AF28 AF30 AF32 AF34">
    <cfRule type="expression" dxfId="109" priority="194">
      <formula>$AG24&gt;0</formula>
    </cfRule>
  </conditionalFormatting>
  <dataValidations count="4">
    <dataValidation type="list" allowBlank="1" showInputMessage="1" showErrorMessage="1" sqref="E35:G35 I35:K35 M35:O35" xr:uid="{93C841BE-1A41-4044-9BDD-ACB47CED3DEE}">
      <formula1>_vše_profily</formula1>
    </dataValidation>
    <dataValidation type="list" allowBlank="1" showInputMessage="1" showErrorMessage="1" sqref="E37:G37" xr:uid="{98C5D4A3-F5F1-48E1-B7FA-E6031B58E4AC}">
      <formula1>$E$54:$E$111</formula1>
    </dataValidation>
    <dataValidation type="list" allowBlank="1" showInputMessage="1" showErrorMessage="1" sqref="I37:K37" xr:uid="{BE7DF082-F4B8-4F47-B8F0-B0E44F7DC4F1}">
      <formula1>$I$54:$I$111</formula1>
    </dataValidation>
    <dataValidation type="list" allowBlank="1" showInputMessage="1" showErrorMessage="1" sqref="M37:O37" xr:uid="{9F650D8A-7C17-4F9A-B5CB-099B13DCC99C}">
      <formula1>$M$54:$M$111</formula1>
    </dataValidation>
  </dataValidations>
  <hyperlinks>
    <hyperlink ref="AH2:AK3" location="Hlavní!A1" display="Hlavní!A1" xr:uid="{BD5C2E0C-E5D2-4539-8D4A-4303ECD7300F}"/>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7393" r:id="rId3" name="Check Box 1967">
              <controlPr locked="0" defaultSize="0" autoFill="0" autoLine="0" autoPict="0">
                <anchor moveWithCells="1">
                  <from>
                    <xdr:col>26</xdr:col>
                    <xdr:colOff>800100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election activeCell="J21" sqref="J21"/>
    </sheetView>
  </sheetViews>
  <sheetFormatPr defaultColWidth="8.5703125" defaultRowHeight="15"/>
  <cols>
    <col min="1" max="1" width="29.140625" bestFit="1" customWidth="1"/>
    <col min="2" max="2" width="24" customWidth="1"/>
    <col min="3" max="3" width="17" bestFit="1" customWidth="1"/>
    <col min="4" max="4" width="17" customWidth="1"/>
    <col min="5" max="5" width="3" style="29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292" customWidth="1"/>
    <col min="13" max="13" width="21" bestFit="1" customWidth="1"/>
    <col min="14" max="14" width="15" bestFit="1" customWidth="1"/>
    <col min="15" max="15" width="3" style="29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292" customWidth="1"/>
    <col min="24" max="24" width="12.140625" bestFit="1" customWidth="1"/>
    <col min="25" max="25" width="4.140625" bestFit="1" customWidth="1"/>
    <col min="26" max="26" width="3" style="292" customWidth="1"/>
    <col min="27" max="27" width="18.42578125" bestFit="1" customWidth="1"/>
    <col min="28" max="28" width="17.42578125" bestFit="1" customWidth="1"/>
    <col min="29" max="29" width="14.42578125" bestFit="1" customWidth="1"/>
    <col min="30" max="30" width="16.42578125" customWidth="1"/>
    <col min="31" max="31" width="3" style="292" customWidth="1"/>
    <col min="32" max="32" width="17.42578125" customWidth="1"/>
    <col min="33" max="48" width="16.42578125" customWidth="1"/>
    <col min="49" max="49" width="3" style="292" customWidth="1"/>
    <col min="50" max="53" width="19.5703125" customWidth="1"/>
    <col min="54" max="54" width="3" style="292" customWidth="1"/>
    <col min="55" max="61" width="9.42578125" customWidth="1"/>
    <col min="62" max="62" width="3" style="292" customWidth="1"/>
    <col min="63" max="63" width="17.42578125" bestFit="1" customWidth="1"/>
    <col min="64" max="64" width="3" style="29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9" t="s">
        <v>38</v>
      </c>
      <c r="B1" s="291"/>
      <c r="C1" s="291"/>
      <c r="D1" s="291"/>
      <c r="F1" s="269" t="s">
        <v>1985</v>
      </c>
      <c r="G1" s="291"/>
      <c r="H1" s="291" t="b">
        <v>0</v>
      </c>
      <c r="I1" s="291"/>
      <c r="J1" s="291"/>
      <c r="K1" s="291"/>
      <c r="M1" s="269" t="s">
        <v>1986</v>
      </c>
      <c r="N1" s="291"/>
      <c r="P1" s="291" t="e">
        <f t="array" ref="P1">IF($S$1=Varianta_N1,_N1,IF($S$1=Varianta_A1,_A1,IF($S$1=Varianta_N2,_N2,IF($S$1=Varianta_A2,_A2,IF($S$1=Varianta_N3,_N3,IF($S$1=Varianta_A3,_A3,0))))))</f>
        <v>#NAME?</v>
      </c>
      <c r="Q1" s="298" t="s">
        <v>2053</v>
      </c>
      <c r="R1" s="299" t="str">
        <f>VLOOKUP(Posuv!E35,$A:$C,3,0)</f>
        <v>N</v>
      </c>
      <c r="S1" s="291" t="str">
        <f>CONCATENATE("_",R1,V1)</f>
        <v>_N1</v>
      </c>
      <c r="T1" s="291"/>
      <c r="U1" s="298" t="s">
        <v>2052</v>
      </c>
      <c r="V1" s="299">
        <v>1</v>
      </c>
      <c r="X1" s="269" t="s">
        <v>1987</v>
      </c>
      <c r="Y1" s="291"/>
      <c r="AA1" s="291" t="s">
        <v>1078</v>
      </c>
      <c r="AB1" s="291"/>
      <c r="AC1" s="291"/>
      <c r="AD1" s="291"/>
      <c r="AF1" s="291" t="s">
        <v>1988</v>
      </c>
      <c r="AG1" s="291"/>
      <c r="AH1" s="291"/>
      <c r="AI1" s="291"/>
      <c r="AJ1" s="291"/>
      <c r="AK1" s="291"/>
      <c r="AL1" s="291"/>
      <c r="AM1" s="291"/>
      <c r="AN1" s="291"/>
      <c r="AO1" s="291"/>
      <c r="AP1" s="291"/>
      <c r="AQ1" s="291"/>
      <c r="AR1" s="291"/>
      <c r="AS1" s="291"/>
      <c r="AT1" s="291"/>
      <c r="AU1" s="291"/>
      <c r="AV1" s="291"/>
      <c r="AX1" s="291" t="s">
        <v>728</v>
      </c>
      <c r="AY1" s="291"/>
      <c r="AZ1" s="291"/>
      <c r="BA1" s="291"/>
      <c r="BC1" s="291" t="s">
        <v>22</v>
      </c>
      <c r="BD1" s="291"/>
      <c r="BE1" s="291"/>
      <c r="BF1" s="291"/>
      <c r="BG1" s="291"/>
      <c r="BH1" s="291"/>
      <c r="BI1" s="291"/>
      <c r="BK1" s="291" t="s">
        <v>1024</v>
      </c>
      <c r="BM1" t="s">
        <v>2042</v>
      </c>
      <c r="BQ1" s="300" t="s">
        <v>1434</v>
      </c>
    </row>
    <row r="2" spans="1:121">
      <c r="A2" s="293" t="s">
        <v>1989</v>
      </c>
      <c r="B2" s="293" t="s">
        <v>2046</v>
      </c>
      <c r="C2" s="293" t="s">
        <v>2047</v>
      </c>
      <c r="D2" s="293" t="s">
        <v>1986</v>
      </c>
      <c r="F2" s="293" t="s">
        <v>1991</v>
      </c>
      <c r="G2" s="293" t="s">
        <v>1992</v>
      </c>
      <c r="H2" s="293" t="s">
        <v>1993</v>
      </c>
      <c r="I2" s="293" t="s">
        <v>1994</v>
      </c>
      <c r="J2" s="293"/>
      <c r="K2" s="293"/>
      <c r="M2" s="293" t="s">
        <v>1995</v>
      </c>
      <c r="P2" s="293" t="s">
        <v>2048</v>
      </c>
      <c r="Q2" s="293" t="s">
        <v>2045</v>
      </c>
      <c r="R2" s="293" t="s">
        <v>2049</v>
      </c>
      <c r="S2" s="293" t="s">
        <v>2044</v>
      </c>
      <c r="T2" s="293" t="s">
        <v>2050</v>
      </c>
      <c r="U2" s="293" t="s">
        <v>1987</v>
      </c>
      <c r="V2" s="293" t="s">
        <v>2051</v>
      </c>
      <c r="X2" s="293" t="s">
        <v>1996</v>
      </c>
      <c r="Y2" s="293" t="s">
        <v>1997</v>
      </c>
      <c r="AA2" s="293" t="s">
        <v>1434</v>
      </c>
      <c r="AB2" s="293" t="s">
        <v>1998</v>
      </c>
      <c r="AC2" s="293" t="s">
        <v>1999</v>
      </c>
      <c r="AD2" s="293" t="s">
        <v>1024</v>
      </c>
      <c r="AF2" s="294" t="s">
        <v>2000</v>
      </c>
      <c r="AG2" s="294" t="s">
        <v>1023</v>
      </c>
      <c r="AH2">
        <v>1</v>
      </c>
      <c r="AI2">
        <v>2</v>
      </c>
      <c r="AJ2">
        <v>3</v>
      </c>
      <c r="AK2">
        <v>4</v>
      </c>
      <c r="AL2">
        <v>5</v>
      </c>
      <c r="AM2">
        <v>6</v>
      </c>
      <c r="AN2">
        <v>7</v>
      </c>
      <c r="AO2">
        <v>8</v>
      </c>
      <c r="AP2">
        <v>9</v>
      </c>
      <c r="AQ2">
        <v>10</v>
      </c>
      <c r="AR2">
        <v>11</v>
      </c>
      <c r="AS2">
        <v>12</v>
      </c>
      <c r="AT2">
        <v>13</v>
      </c>
      <c r="AU2">
        <v>14</v>
      </c>
      <c r="AV2">
        <v>15</v>
      </c>
      <c r="AX2" s="293" t="s">
        <v>1990</v>
      </c>
      <c r="AY2" s="293" t="s">
        <v>1434</v>
      </c>
      <c r="AZ2" s="293" t="s">
        <v>2001</v>
      </c>
      <c r="BA2" s="293" t="s">
        <v>2002</v>
      </c>
      <c r="BC2" s="295">
        <v>1</v>
      </c>
      <c r="BD2" s="295">
        <v>2</v>
      </c>
      <c r="BE2" s="295">
        <v>3</v>
      </c>
      <c r="BF2" s="295">
        <v>4</v>
      </c>
      <c r="BG2" s="295">
        <v>5</v>
      </c>
      <c r="BH2" s="295">
        <v>6</v>
      </c>
      <c r="BI2" s="295">
        <v>7</v>
      </c>
      <c r="BK2" s="295" t="s">
        <v>2003</v>
      </c>
      <c r="BM2" s="293" t="s">
        <v>2043</v>
      </c>
      <c r="BN2" s="293" t="s">
        <v>2044</v>
      </c>
      <c r="BO2" s="293" t="s">
        <v>1987</v>
      </c>
      <c r="BQ2" t="str">
        <f>'Translate&amp;Prices&amp;Logo'!B551</f>
        <v>Závěsy</v>
      </c>
      <c r="BR2" t="str">
        <f>'Translate&amp;Prices&amp;Logo'!B552</f>
        <v>Výklopy</v>
      </c>
      <c r="BU2" t="str">
        <f>CONCATENATE("_",Ram_1!H12,"_",Ram_1!H13)</f>
        <v>__</v>
      </c>
      <c r="BV2" t="s">
        <v>2070</v>
      </c>
      <c r="BW2" t="s">
        <v>2065</v>
      </c>
      <c r="BY2" t="s">
        <v>250</v>
      </c>
      <c r="CA2" t="s">
        <v>2097</v>
      </c>
      <c r="CD2" t="s">
        <v>2173</v>
      </c>
      <c r="CG2" s="293" t="s">
        <v>838</v>
      </c>
      <c r="CH2" s="293" t="s">
        <v>2172</v>
      </c>
      <c r="CI2" s="296" t="s">
        <v>838</v>
      </c>
      <c r="CJ2" s="296" t="s">
        <v>2172</v>
      </c>
      <c r="CK2" s="293" t="s">
        <v>838</v>
      </c>
      <c r="CL2" s="293" t="s">
        <v>2172</v>
      </c>
      <c r="CM2" s="296" t="s">
        <v>838</v>
      </c>
      <c r="CN2" s="296" t="s">
        <v>2172</v>
      </c>
      <c r="CO2" s="293" t="s">
        <v>838</v>
      </c>
      <c r="CP2" s="293" t="s">
        <v>2172</v>
      </c>
      <c r="CQ2" s="296" t="s">
        <v>838</v>
      </c>
      <c r="CR2" s="296" t="s">
        <v>2172</v>
      </c>
      <c r="CS2" s="293" t="s">
        <v>838</v>
      </c>
      <c r="CT2" s="293" t="s">
        <v>2172</v>
      </c>
      <c r="CU2" s="296" t="s">
        <v>838</v>
      </c>
      <c r="CV2" s="296" t="s">
        <v>2172</v>
      </c>
      <c r="CW2" s="293" t="s">
        <v>838</v>
      </c>
      <c r="CX2" s="293" t="s">
        <v>2172</v>
      </c>
      <c r="CY2" s="296" t="s">
        <v>838</v>
      </c>
      <c r="CZ2" s="296" t="s">
        <v>2172</v>
      </c>
      <c r="DA2" s="293" t="s">
        <v>838</v>
      </c>
      <c r="DB2" s="293" t="s">
        <v>2172</v>
      </c>
      <c r="DC2" s="296" t="s">
        <v>838</v>
      </c>
      <c r="DD2" s="296" t="s">
        <v>2172</v>
      </c>
      <c r="DE2" s="293" t="s">
        <v>838</v>
      </c>
      <c r="DF2" s="293" t="s">
        <v>2172</v>
      </c>
      <c r="DG2" s="296" t="s">
        <v>838</v>
      </c>
      <c r="DH2" s="296" t="s">
        <v>2172</v>
      </c>
      <c r="DI2" s="293" t="s">
        <v>838</v>
      </c>
      <c r="DJ2" s="293" t="s">
        <v>2172</v>
      </c>
      <c r="DK2" s="296" t="s">
        <v>838</v>
      </c>
      <c r="DL2" s="296" t="s">
        <v>2172</v>
      </c>
      <c r="DN2" t="str">
        <f>'Translate&amp;Prices&amp;Logo'!B553</f>
        <v>Naložený</v>
      </c>
      <c r="DP2" t="str">
        <f>'Translate&amp;Prices&amp;Logo'!B551</f>
        <v>Závěsy</v>
      </c>
      <c r="DQ2">
        <v>2</v>
      </c>
    </row>
    <row r="3" spans="1:121">
      <c r="A3" s="329" t="str">
        <f>'Translate&amp;Prices&amp;Logo'!B6</f>
        <v>BRW (elox.)</v>
      </c>
      <c r="B3">
        <v>1</v>
      </c>
      <c r="C3" t="s">
        <v>1215</v>
      </c>
      <c r="D3">
        <v>1</v>
      </c>
      <c r="F3" t="s">
        <v>2004</v>
      </c>
      <c r="G3" t="s">
        <v>706</v>
      </c>
      <c r="H3" t="s">
        <v>2005</v>
      </c>
      <c r="I3">
        <v>1</v>
      </c>
      <c r="J3">
        <v>2</v>
      </c>
      <c r="K3" t="s">
        <v>1215</v>
      </c>
      <c r="M3" t="s">
        <v>2006</v>
      </c>
      <c r="N3" t="s">
        <v>984</v>
      </c>
      <c r="Q3" s="300" t="s">
        <v>2055</v>
      </c>
      <c r="R3" s="300" t="s">
        <v>2056</v>
      </c>
      <c r="S3" s="300" t="s">
        <v>2057</v>
      </c>
      <c r="T3" s="300" t="s">
        <v>2058</v>
      </c>
      <c r="U3" s="300" t="s">
        <v>2059</v>
      </c>
      <c r="V3" s="300" t="s">
        <v>2060</v>
      </c>
      <c r="X3" t="str">
        <f>'Translate&amp;Prices&amp;Logo'!$B$563</f>
        <v>Transparentní</v>
      </c>
      <c r="Y3">
        <v>1</v>
      </c>
      <c r="AA3" t="s">
        <v>2008</v>
      </c>
      <c r="AB3" t="s">
        <v>2065</v>
      </c>
      <c r="AF3" s="293" t="s">
        <v>245</v>
      </c>
      <c r="AG3" s="293" t="s">
        <v>1025</v>
      </c>
      <c r="AY3" t="s">
        <v>2038</v>
      </c>
      <c r="BK3" t="s">
        <v>245</v>
      </c>
      <c r="BQ3" t="s">
        <v>2038</v>
      </c>
      <c r="BR3" t="s">
        <v>2008</v>
      </c>
      <c r="BU3" t="e">
        <f>VLOOKUP(BU2,BV:BW,2,0)</f>
        <v>#N/A</v>
      </c>
      <c r="BV3" t="s">
        <v>2073</v>
      </c>
      <c r="BW3" t="s">
        <v>2069</v>
      </c>
      <c r="BY3" t="str">
        <f>'Translate&amp;Prices&amp;Logo'!B230</f>
        <v>Vlevo</v>
      </c>
      <c r="BZ3">
        <v>1</v>
      </c>
      <c r="CA3">
        <v>32</v>
      </c>
      <c r="CD3" t="s">
        <v>2180</v>
      </c>
      <c r="CE3">
        <v>1</v>
      </c>
      <c r="CG3" s="293" t="s">
        <v>2180</v>
      </c>
      <c r="CH3" s="293" t="s">
        <v>2180</v>
      </c>
      <c r="CI3" s="296" t="s">
        <v>2181</v>
      </c>
      <c r="CJ3" s="296" t="s">
        <v>2181</v>
      </c>
      <c r="CK3" s="293" t="s">
        <v>2018</v>
      </c>
      <c r="CL3" s="293" t="s">
        <v>2018</v>
      </c>
      <c r="CM3" s="296" t="s">
        <v>2021</v>
      </c>
      <c r="CN3" s="296" t="s">
        <v>2021</v>
      </c>
      <c r="CO3" s="293" t="s">
        <v>2028</v>
      </c>
      <c r="CP3" s="293" t="s">
        <v>2028</v>
      </c>
      <c r="CQ3" s="296" t="s">
        <v>2182</v>
      </c>
      <c r="CR3" s="296" t="s">
        <v>2182</v>
      </c>
      <c r="CS3" s="293" t="s">
        <v>2023</v>
      </c>
      <c r="CT3" s="293" t="s">
        <v>2023</v>
      </c>
      <c r="CU3" s="296" t="s">
        <v>2029</v>
      </c>
      <c r="CV3" s="296" t="s">
        <v>2029</v>
      </c>
      <c r="CW3" s="293" t="s">
        <v>2177</v>
      </c>
      <c r="CX3" s="293" t="s">
        <v>2177</v>
      </c>
      <c r="CY3" s="296" t="s">
        <v>2032</v>
      </c>
      <c r="CZ3" s="296" t="s">
        <v>2032</v>
      </c>
      <c r="DA3" s="293" t="s">
        <v>2176</v>
      </c>
      <c r="DB3" s="293" t="s">
        <v>2176</v>
      </c>
      <c r="DC3" s="296" t="s">
        <v>2034</v>
      </c>
      <c r="DD3" s="296" t="s">
        <v>2034</v>
      </c>
      <c r="DE3" s="293" t="s">
        <v>2035</v>
      </c>
      <c r="DF3" s="293" t="s">
        <v>2035</v>
      </c>
      <c r="DG3" s="296" t="s">
        <v>2178</v>
      </c>
      <c r="DH3" s="296" t="s">
        <v>2178</v>
      </c>
      <c r="DI3" s="293" t="s">
        <v>2179</v>
      </c>
      <c r="DJ3" s="293" t="s">
        <v>2179</v>
      </c>
      <c r="DK3" s="296" t="s">
        <v>2040</v>
      </c>
      <c r="DL3" s="296" t="s">
        <v>2040</v>
      </c>
      <c r="DN3" t="str">
        <f>'Translate&amp;Prices&amp;Logo'!B554</f>
        <v>Polonaložený</v>
      </c>
      <c r="DP3" t="str">
        <f>'Translate&amp;Prices&amp;Logo'!B552</f>
        <v>Výklopy</v>
      </c>
      <c r="DQ3">
        <v>3</v>
      </c>
    </row>
    <row r="4" spans="1:121">
      <c r="A4" s="329" t="str">
        <f>'Translate&amp;Prices&amp;Logo'!B7</f>
        <v>BRW antracit</v>
      </c>
      <c r="B4">
        <v>1</v>
      </c>
      <c r="C4" t="s">
        <v>1215</v>
      </c>
      <c r="D4">
        <v>0</v>
      </c>
      <c r="G4" t="s">
        <v>2005</v>
      </c>
      <c r="H4" t="s">
        <v>706</v>
      </c>
      <c r="I4">
        <v>0</v>
      </c>
      <c r="J4">
        <v>2</v>
      </c>
      <c r="K4" t="s">
        <v>1215</v>
      </c>
      <c r="M4" t="s">
        <v>2009</v>
      </c>
      <c r="N4" t="s">
        <v>1607</v>
      </c>
      <c r="Q4" s="329" t="str">
        <f>'Translate&amp;Prices&amp;Logo'!$B$99</f>
        <v>Čiré - maximální rozměr 2550 x 1605 mm</v>
      </c>
      <c r="R4" s="329" t="str">
        <f>'Translate&amp;Prices&amp;Logo'!$B$110</f>
        <v>Stopsol bronz - maximální rozměr 2250 x 1605 mm</v>
      </c>
      <c r="S4" s="329" t="str">
        <f>'Translate&amp;Prices&amp;Logo'!$B$99</f>
        <v>Čiré - maximální rozměr 2550 x 1605 mm</v>
      </c>
      <c r="T4" s="329" t="str">
        <f>'Translate&amp;Prices&amp;Logo'!$B$110</f>
        <v>Stopsol bronz - maximální rozměr 2250 x 1605 mm</v>
      </c>
      <c r="U4" s="329" t="str">
        <f>'Translate&amp;Prices&amp;Logo'!$B$115</f>
        <v>Zrcadlo - maximální rozměr 2550 x 1605 mm</v>
      </c>
      <c r="V4" s="329" t="str">
        <f>'Translate&amp;Prices&amp;Logo'!$B$115</f>
        <v>Zrcadlo - maximální rozměr 2550 x 1605 mm</v>
      </c>
      <c r="X4" t="str">
        <f>'Translate&amp;Prices&amp;Logo'!$B$564</f>
        <v>Bílá</v>
      </c>
      <c r="Y4">
        <v>2</v>
      </c>
      <c r="AA4" t="s">
        <v>2008</v>
      </c>
      <c r="AB4" t="s">
        <v>2180</v>
      </c>
      <c r="AC4">
        <v>1</v>
      </c>
      <c r="AD4">
        <v>1</v>
      </c>
      <c r="AF4" s="293" t="s">
        <v>246</v>
      </c>
      <c r="AG4" s="293" t="s">
        <v>1025</v>
      </c>
      <c r="AY4" t="s">
        <v>2038</v>
      </c>
      <c r="AZ4" t="s">
        <v>2075</v>
      </c>
      <c r="BK4" t="s">
        <v>246</v>
      </c>
      <c r="BQ4" t="s">
        <v>2008</v>
      </c>
      <c r="BR4" t="s">
        <v>2020</v>
      </c>
      <c r="BV4" t="s">
        <v>2074</v>
      </c>
      <c r="BW4" t="s">
        <v>2068</v>
      </c>
      <c r="BY4" t="str">
        <f>'Translate&amp;Prices&amp;Logo'!B229</f>
        <v xml:space="preserve">Vpravo </v>
      </c>
      <c r="BZ4">
        <v>2</v>
      </c>
      <c r="CA4">
        <v>64</v>
      </c>
      <c r="CD4" t="s">
        <v>2181</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329" t="str">
        <f>'Translate&amp;Prices&amp;Logo'!B8</f>
        <v>BRW bílá mat</v>
      </c>
      <c r="B5">
        <v>1</v>
      </c>
      <c r="C5" t="s">
        <v>1215</v>
      </c>
      <c r="D5">
        <v>0</v>
      </c>
      <c r="F5" t="s">
        <v>2011</v>
      </c>
      <c r="G5" t="s">
        <v>705</v>
      </c>
      <c r="H5" t="s">
        <v>2005</v>
      </c>
      <c r="I5">
        <v>1</v>
      </c>
      <c r="J5">
        <v>2</v>
      </c>
      <c r="K5" t="s">
        <v>1215</v>
      </c>
      <c r="M5" t="s">
        <v>2012</v>
      </c>
      <c r="N5" t="s">
        <v>1004</v>
      </c>
      <c r="Q5" s="329" t="str">
        <f>'Translate&amp;Prices&amp;Logo'!$B$104</f>
        <v>Satinato - maximální rozměr 2550 x 1605 mm</v>
      </c>
      <c r="R5" s="329" t="str">
        <f>'Translate&amp;Prices&amp;Logo'!$B$111</f>
        <v>Lakomat - maximální rozměr 2550 x 1605 mm</v>
      </c>
      <c r="S5" s="329" t="str">
        <f>'Translate&amp;Prices&amp;Logo'!$B$104</f>
        <v>Satinato - maximální rozměr 2550 x 1605 mm</v>
      </c>
      <c r="T5" s="329" t="str">
        <f>'Translate&amp;Prices&amp;Logo'!$B$122</f>
        <v>Master  Ligne - maximální rozměr 2000 x 1605 mm</v>
      </c>
      <c r="U5" s="329" t="str">
        <f>'Translate&amp;Prices&amp;Logo'!$B$116</f>
        <v>Zrcadlo hnědé - maximální rozměr 2250 x 1605 mm</v>
      </c>
      <c r="V5" s="329" t="str">
        <f>'Translate&amp;Prices&amp;Logo'!$B$116</f>
        <v>Zrcadlo hnědé - maximální rozměr 2250 x 1605 mm</v>
      </c>
      <c r="X5" t="str">
        <f>'Translate&amp;Prices&amp;Logo'!$B$565</f>
        <v>Černá</v>
      </c>
      <c r="Y5">
        <v>3</v>
      </c>
      <c r="AA5" t="s">
        <v>2008</v>
      </c>
      <c r="AB5" t="s">
        <v>2183</v>
      </c>
      <c r="AC5">
        <v>0</v>
      </c>
      <c r="AD5">
        <v>0</v>
      </c>
      <c r="AF5" s="296" t="s">
        <v>245</v>
      </c>
      <c r="AG5" s="296" t="s">
        <v>2014</v>
      </c>
      <c r="AY5" t="s">
        <v>2038</v>
      </c>
      <c r="AZ5" t="s">
        <v>2076</v>
      </c>
      <c r="BK5" t="s">
        <v>2015</v>
      </c>
      <c r="BQ5" t="s">
        <v>1014</v>
      </c>
      <c r="BR5" t="s">
        <v>2030</v>
      </c>
      <c r="BV5" t="s">
        <v>2071</v>
      </c>
      <c r="BW5" t="s">
        <v>2066</v>
      </c>
      <c r="BY5" t="str">
        <f>'Translate&amp;Prices&amp;Logo'!B227</f>
        <v>Nahoře</v>
      </c>
      <c r="BZ5">
        <v>3</v>
      </c>
      <c r="CA5">
        <v>76</v>
      </c>
      <c r="CD5" t="s">
        <v>2018</v>
      </c>
      <c r="CE5">
        <v>1</v>
      </c>
      <c r="CG5" t="s">
        <v>2098</v>
      </c>
      <c r="CH5" t="s">
        <v>2106</v>
      </c>
      <c r="CI5" t="s">
        <v>2113</v>
      </c>
      <c r="CJ5" t="s">
        <v>2118</v>
      </c>
      <c r="CK5" t="s">
        <v>2121</v>
      </c>
      <c r="CL5" t="s">
        <v>2131</v>
      </c>
      <c r="CM5" t="s">
        <v>2121</v>
      </c>
      <c r="CN5" t="s">
        <v>2131</v>
      </c>
      <c r="CO5" t="s">
        <v>2121</v>
      </c>
      <c r="CP5" t="s">
        <v>2131</v>
      </c>
      <c r="CQ5" t="s">
        <v>2142</v>
      </c>
      <c r="CR5" t="s">
        <v>2150</v>
      </c>
      <c r="CS5" t="s">
        <v>2142</v>
      </c>
      <c r="CT5" t="s">
        <v>2150</v>
      </c>
      <c r="CU5" t="s">
        <v>2121</v>
      </c>
      <c r="CV5" t="s">
        <v>2131</v>
      </c>
      <c r="CW5" t="s">
        <v>2142</v>
      </c>
      <c r="CX5" t="s">
        <v>2156</v>
      </c>
      <c r="CY5" t="s">
        <v>2121</v>
      </c>
      <c r="CZ5" t="s">
        <v>2131</v>
      </c>
      <c r="DA5" t="s">
        <v>2142</v>
      </c>
      <c r="DB5" t="s">
        <v>2156</v>
      </c>
      <c r="DC5" t="s">
        <v>2142</v>
      </c>
      <c r="DD5" t="s">
        <v>2156</v>
      </c>
      <c r="DE5" t="s">
        <v>2142</v>
      </c>
      <c r="DF5" t="s">
        <v>2156</v>
      </c>
      <c r="DG5" t="s">
        <v>2121</v>
      </c>
      <c r="DH5" t="s">
        <v>2131</v>
      </c>
      <c r="DI5" t="s">
        <v>2121</v>
      </c>
      <c r="DJ5" t="s">
        <v>2131</v>
      </c>
      <c r="DK5" t="s">
        <v>2142</v>
      </c>
      <c r="DL5" t="s">
        <v>2156</v>
      </c>
    </row>
    <row r="6" spans="1:121">
      <c r="A6" s="329" t="str">
        <f>'Translate&amp;Prices&amp;Logo'!B9</f>
        <v>BRW bílá lesk</v>
      </c>
      <c r="B6">
        <v>1</v>
      </c>
      <c r="C6" t="s">
        <v>1215</v>
      </c>
      <c r="D6">
        <v>0</v>
      </c>
      <c r="G6" t="s">
        <v>2005</v>
      </c>
      <c r="H6" t="s">
        <v>705</v>
      </c>
      <c r="I6">
        <v>0</v>
      </c>
      <c r="J6">
        <v>2</v>
      </c>
      <c r="K6" t="s">
        <v>1215</v>
      </c>
      <c r="N6" t="s">
        <v>1583</v>
      </c>
      <c r="Q6" s="329" t="str">
        <f>'Translate&amp;Prices&amp;Logo'!$B$106</f>
        <v>Satinato hnědé / Decormat Braz - maximální rozměr 2250 x 1605 mm</v>
      </c>
      <c r="R6" s="329" t="str">
        <f>'Translate&amp;Prices&amp;Logo'!$B$115</f>
        <v>Zrcadlo - maximální rozměr 2550 x 1605 mm</v>
      </c>
      <c r="S6" s="329" t="str">
        <f>'Translate&amp;Prices&amp;Logo'!$B$106</f>
        <v>Satinato hnědé / Decormat Braz - maximální rozměr 2250 x 1605 mm</v>
      </c>
      <c r="T6" s="329" t="str">
        <f>'Translate&amp;Prices&amp;Logo'!$B$123</f>
        <v>Master  Point - maximální rozměr 2000 x 1605 mm</v>
      </c>
      <c r="U6" s="329" t="str">
        <f>'Translate&amp;Prices&amp;Logo'!$B$117</f>
        <v>Zrcadlo grafit - maximální rozměr 2550 x 1605 mm</v>
      </c>
      <c r="V6" s="329" t="str">
        <f>'Translate&amp;Prices&amp;Logo'!$B$117</f>
        <v>Zrcadlo grafit - maximální rozměr 2550 x 1605 mm</v>
      </c>
      <c r="AA6" t="s">
        <v>2008</v>
      </c>
      <c r="AB6" t="s">
        <v>2184</v>
      </c>
      <c r="AC6">
        <v>0</v>
      </c>
      <c r="AD6">
        <v>0</v>
      </c>
      <c r="AF6" s="296" t="s">
        <v>246</v>
      </c>
      <c r="AG6" s="296" t="s">
        <v>2014</v>
      </c>
      <c r="AY6" t="s">
        <v>2038</v>
      </c>
      <c r="AZ6" t="s">
        <v>2077</v>
      </c>
      <c r="BK6" t="s">
        <v>2016</v>
      </c>
      <c r="BR6" t="s">
        <v>1014</v>
      </c>
      <c r="BV6" t="s">
        <v>2072</v>
      </c>
      <c r="BW6" t="s">
        <v>2067</v>
      </c>
      <c r="BY6" t="str">
        <f>'Translate&amp;Prices&amp;Logo'!B228</f>
        <v>Dole</v>
      </c>
      <c r="BZ6">
        <v>4</v>
      </c>
      <c r="CA6">
        <v>96</v>
      </c>
      <c r="CD6" t="s">
        <v>2021</v>
      </c>
      <c r="CE6">
        <v>1</v>
      </c>
      <c r="CK6" t="s">
        <v>2122</v>
      </c>
      <c r="CL6" t="s">
        <v>2132</v>
      </c>
      <c r="CM6" t="s">
        <v>2122</v>
      </c>
      <c r="CN6" t="s">
        <v>2132</v>
      </c>
      <c r="CO6" t="s">
        <v>2122</v>
      </c>
      <c r="CP6" t="s">
        <v>2132</v>
      </c>
      <c r="CQ6" t="s">
        <v>2143</v>
      </c>
      <c r="CR6" t="s">
        <v>2151</v>
      </c>
      <c r="CS6" t="s">
        <v>2143</v>
      </c>
      <c r="CT6" t="s">
        <v>2151</v>
      </c>
      <c r="CU6" t="s">
        <v>2122</v>
      </c>
      <c r="CV6" t="s">
        <v>2132</v>
      </c>
      <c r="CW6" t="s">
        <v>2144</v>
      </c>
      <c r="CX6" t="s">
        <v>2150</v>
      </c>
      <c r="CY6" t="s">
        <v>2122</v>
      </c>
      <c r="CZ6" t="s">
        <v>2132</v>
      </c>
      <c r="DA6" t="s">
        <v>2144</v>
      </c>
      <c r="DB6" t="s">
        <v>2150</v>
      </c>
      <c r="DC6" t="s">
        <v>2144</v>
      </c>
      <c r="DD6" t="s">
        <v>2150</v>
      </c>
      <c r="DE6" t="s">
        <v>2144</v>
      </c>
      <c r="DF6" t="s">
        <v>2150</v>
      </c>
      <c r="DG6" t="s">
        <v>2122</v>
      </c>
      <c r="DH6" t="s">
        <v>2132</v>
      </c>
      <c r="DI6" t="s">
        <v>2122</v>
      </c>
      <c r="DJ6" t="s">
        <v>2132</v>
      </c>
      <c r="DK6" t="s">
        <v>2144</v>
      </c>
      <c r="DL6" t="s">
        <v>2150</v>
      </c>
    </row>
    <row r="7" spans="1:121">
      <c r="A7" s="329" t="str">
        <f>'Translate&amp;Prices&amp;Logo'!B10</f>
        <v>BRW hnědá</v>
      </c>
      <c r="B7">
        <v>1</v>
      </c>
      <c r="C7" t="s">
        <v>1215</v>
      </c>
      <c r="D7">
        <v>0</v>
      </c>
      <c r="F7" t="s">
        <v>2017</v>
      </c>
      <c r="G7" t="s">
        <v>707</v>
      </c>
      <c r="H7" t="s">
        <v>2005</v>
      </c>
      <c r="I7">
        <v>1</v>
      </c>
      <c r="J7">
        <v>2</v>
      </c>
      <c r="K7" t="s">
        <v>1215</v>
      </c>
      <c r="Q7" s="329" t="str">
        <f>'Translate&amp;Prices&amp;Logo'!$B$107</f>
        <v>Satinato grafit / Decormat grafit - maximální rozměr 2250 x 1605 mm</v>
      </c>
      <c r="R7" s="329" t="str">
        <f>'Translate&amp;Prices&amp;Logo'!$B$116</f>
        <v>Zrcadlo hnědé - maximální rozměr 2250 x 1605 mm</v>
      </c>
      <c r="S7" s="329" t="str">
        <f>'Translate&amp;Prices&amp;Logo'!$B$107</f>
        <v>Satinato grafit / Decormat grafit - maximální rozměr 2250 x 1605 mm</v>
      </c>
      <c r="T7" s="329" t="str">
        <f>'Translate&amp;Prices&amp;Logo'!$B$125</f>
        <v>Master  Shine - maximální rozměr 2000 x 1605 mm</v>
      </c>
      <c r="U7" s="329" t="str">
        <f>'Translate&amp;Prices&amp;Logo'!$B$126</f>
        <v>Lacobel RAL 1013 - maximální rozměr 2550 x 1605 mm</v>
      </c>
      <c r="V7" s="329" t="str">
        <f>'Translate&amp;Prices&amp;Logo'!$B$126</f>
        <v>Lacobel RAL 1013 - maximální rozměr 2550 x 1605 mm</v>
      </c>
      <c r="AA7" t="s">
        <v>2008</v>
      </c>
      <c r="AB7" t="s">
        <v>2185</v>
      </c>
      <c r="AC7">
        <v>1</v>
      </c>
      <c r="AD7">
        <v>0</v>
      </c>
      <c r="AF7" s="293" t="s">
        <v>245</v>
      </c>
      <c r="AG7" s="293" t="s">
        <v>2018</v>
      </c>
      <c r="AY7" t="s">
        <v>2038</v>
      </c>
      <c r="AZ7" t="s">
        <v>2078</v>
      </c>
      <c r="BK7" t="s">
        <v>2019</v>
      </c>
      <c r="BR7" t="s">
        <v>2038</v>
      </c>
      <c r="BV7" t="s">
        <v>2090</v>
      </c>
      <c r="BW7" t="s">
        <v>2093</v>
      </c>
      <c r="CA7">
        <v>128</v>
      </c>
      <c r="CD7" t="s">
        <v>2023</v>
      </c>
      <c r="CE7">
        <v>1</v>
      </c>
      <c r="CK7" t="s">
        <v>2123</v>
      </c>
      <c r="CL7" t="s">
        <v>2133</v>
      </c>
      <c r="CM7" t="s">
        <v>2123</v>
      </c>
      <c r="CN7" t="s">
        <v>2133</v>
      </c>
      <c r="CO7" t="s">
        <v>2123</v>
      </c>
      <c r="CP7" t="s">
        <v>2133</v>
      </c>
      <c r="CQ7" t="s">
        <v>2144</v>
      </c>
      <c r="CR7" t="s">
        <v>2152</v>
      </c>
      <c r="CS7" t="s">
        <v>2144</v>
      </c>
      <c r="CT7" t="s">
        <v>2152</v>
      </c>
      <c r="CU7" t="s">
        <v>2123</v>
      </c>
      <c r="CV7" t="s">
        <v>2133</v>
      </c>
      <c r="CW7" t="s">
        <v>2147</v>
      </c>
      <c r="CX7" t="s">
        <v>2152</v>
      </c>
      <c r="CY7" t="s">
        <v>2123</v>
      </c>
      <c r="CZ7" t="s">
        <v>2133</v>
      </c>
      <c r="DA7" t="s">
        <v>2147</v>
      </c>
      <c r="DB7" t="s">
        <v>2152</v>
      </c>
      <c r="DC7" t="s">
        <v>2147</v>
      </c>
      <c r="DD7" t="s">
        <v>2152</v>
      </c>
      <c r="DE7" t="s">
        <v>2147</v>
      </c>
      <c r="DF7" t="s">
        <v>2152</v>
      </c>
      <c r="DG7" t="s">
        <v>2123</v>
      </c>
      <c r="DH7" t="s">
        <v>2133</v>
      </c>
      <c r="DI7" t="s">
        <v>2123</v>
      </c>
      <c r="DJ7" t="s">
        <v>2133</v>
      </c>
      <c r="DK7" t="s">
        <v>2147</v>
      </c>
      <c r="DL7" t="s">
        <v>2152</v>
      </c>
      <c r="DN7" s="12" t="s">
        <v>125</v>
      </c>
      <c r="DO7" s="12" t="s">
        <v>125</v>
      </c>
    </row>
    <row r="8" spans="1:121">
      <c r="A8" s="329" t="str">
        <f>'Translate&amp;Prices&amp;Logo'!B11</f>
        <v>BRW broušené</v>
      </c>
      <c r="B8">
        <v>1</v>
      </c>
      <c r="C8" t="s">
        <v>1215</v>
      </c>
      <c r="D8">
        <v>0</v>
      </c>
      <c r="G8" t="s">
        <v>2005</v>
      </c>
      <c r="H8" t="s">
        <v>707</v>
      </c>
      <c r="I8">
        <v>0</v>
      </c>
      <c r="J8">
        <v>2</v>
      </c>
      <c r="K8" t="s">
        <v>1215</v>
      </c>
      <c r="Q8" s="329" t="str">
        <f>'Translate&amp;Prices&amp;Logo'!$B$108</f>
        <v>Screen - maximální rozměr 2540 x 1850 mm</v>
      </c>
      <c r="R8" s="329" t="str">
        <f>'Translate&amp;Prices&amp;Logo'!$B$117</f>
        <v>Zrcadlo grafit - maximální rozměr 2550 x 1605 mm</v>
      </c>
      <c r="S8" s="329" t="str">
        <f>'Translate&amp;Prices&amp;Logo'!$B$108</f>
        <v>Screen - maximální rozměr 2540 x 1850 mm</v>
      </c>
      <c r="U8" s="329" t="str">
        <f>'Translate&amp;Prices&amp;Logo'!$B$127</f>
        <v>Lacobel RAL 1014 - maximální rozměr 2550 x 1605 mm</v>
      </c>
      <c r="V8" s="329" t="str">
        <f>'Translate&amp;Prices&amp;Logo'!$B$127</f>
        <v>Lacobel RAL 1014 - maximální rozměr 2550 x 1605 mm</v>
      </c>
      <c r="AA8" t="s">
        <v>2008</v>
      </c>
      <c r="AB8" t="s">
        <v>2186</v>
      </c>
      <c r="AC8">
        <v>0</v>
      </c>
      <c r="AD8">
        <v>0</v>
      </c>
      <c r="AF8" s="293" t="s">
        <v>246</v>
      </c>
      <c r="AG8" s="293" t="s">
        <v>2018</v>
      </c>
      <c r="AY8" t="s">
        <v>2038</v>
      </c>
      <c r="AZ8" t="s">
        <v>2079</v>
      </c>
      <c r="BV8" t="s">
        <v>2091</v>
      </c>
      <c r="BW8" t="s">
        <v>2094</v>
      </c>
      <c r="BY8">
        <v>2</v>
      </c>
      <c r="CA8">
        <v>160</v>
      </c>
      <c r="CD8" t="s">
        <v>2182</v>
      </c>
      <c r="CE8">
        <v>1</v>
      </c>
      <c r="CK8" t="s">
        <v>2124</v>
      </c>
      <c r="CL8" t="s">
        <v>2134</v>
      </c>
      <c r="CM8" t="s">
        <v>2124</v>
      </c>
      <c r="CN8" t="s">
        <v>2134</v>
      </c>
      <c r="CO8" t="s">
        <v>2124</v>
      </c>
      <c r="CP8" t="s">
        <v>2134</v>
      </c>
      <c r="CQ8" t="s">
        <v>2145</v>
      </c>
      <c r="CR8" t="s">
        <v>2153</v>
      </c>
      <c r="CS8" t="s">
        <v>2145</v>
      </c>
      <c r="CT8" t="s">
        <v>2153</v>
      </c>
      <c r="CU8" t="s">
        <v>2124</v>
      </c>
      <c r="CV8" t="s">
        <v>2134</v>
      </c>
      <c r="CX8" t="s">
        <v>2154</v>
      </c>
      <c r="CY8" t="s">
        <v>2124</v>
      </c>
      <c r="CZ8" t="s">
        <v>2134</v>
      </c>
      <c r="DB8" t="s">
        <v>2154</v>
      </c>
      <c r="DD8" t="s">
        <v>2154</v>
      </c>
      <c r="DF8" t="s">
        <v>2154</v>
      </c>
      <c r="DG8" t="s">
        <v>2124</v>
      </c>
      <c r="DH8" t="s">
        <v>2134</v>
      </c>
      <c r="DI8" t="s">
        <v>2124</v>
      </c>
      <c r="DJ8" t="s">
        <v>2134</v>
      </c>
      <c r="DL8" t="s">
        <v>2154</v>
      </c>
      <c r="DN8" s="12" t="s">
        <v>126</v>
      </c>
      <c r="DO8" s="12" t="s">
        <v>126</v>
      </c>
    </row>
    <row r="9" spans="1:121">
      <c r="A9" s="329" t="str">
        <f>'Translate&amp;Prices&amp;Logo'!B12</f>
        <v>BRW černá mat</v>
      </c>
      <c r="B9">
        <v>1</v>
      </c>
      <c r="C9" t="s">
        <v>1215</v>
      </c>
      <c r="D9">
        <v>1</v>
      </c>
      <c r="Q9" s="329" t="str">
        <f>'Translate&amp;Prices&amp;Logo'!$B$109</f>
        <v>Venus VG10 - maximální rozměr 3210 x 2250 mm</v>
      </c>
      <c r="R9" s="329" t="str">
        <f>'Translate&amp;Prices&amp;Logo'!$B$122</f>
        <v>Master  Ligne - maximální rozměr 2000 x 1605 mm</v>
      </c>
      <c r="S9" s="329" t="str">
        <f>'Translate&amp;Prices&amp;Logo'!$B$109</f>
        <v>Venus VG10 - maximální rozměr 3210 x 2250 mm</v>
      </c>
      <c r="U9" s="329" t="str">
        <f>'Translate&amp;Prices&amp;Logo'!$B$128</f>
        <v>Lacobel RAL 1015 - maximální rozměr 2550 x 1605 mm</v>
      </c>
      <c r="V9" s="329" t="str">
        <f>'Translate&amp;Prices&amp;Logo'!$B$128</f>
        <v>Lacobel RAL 1015 - maximální rozměr 2550 x 1605 mm</v>
      </c>
      <c r="AB9" t="s">
        <v>2187</v>
      </c>
      <c r="AC9">
        <v>0</v>
      </c>
      <c r="AD9">
        <v>0</v>
      </c>
      <c r="AF9" s="296" t="s">
        <v>245</v>
      </c>
      <c r="AG9" s="296" t="s">
        <v>2021</v>
      </c>
      <c r="AY9" t="s">
        <v>2008</v>
      </c>
      <c r="BV9" t="s">
        <v>2092</v>
      </c>
      <c r="BW9" t="s">
        <v>2095</v>
      </c>
      <c r="BY9">
        <v>3</v>
      </c>
      <c r="CA9">
        <v>192</v>
      </c>
      <c r="CD9" t="s">
        <v>2028</v>
      </c>
      <c r="CE9">
        <v>1</v>
      </c>
      <c r="CK9" t="s">
        <v>2125</v>
      </c>
      <c r="CL9" t="s">
        <v>2135</v>
      </c>
      <c r="CM9" t="s">
        <v>2125</v>
      </c>
      <c r="CN9" t="s">
        <v>2135</v>
      </c>
      <c r="CO9" t="s">
        <v>2125</v>
      </c>
      <c r="CP9" t="s">
        <v>2135</v>
      </c>
      <c r="CQ9" t="s">
        <v>2146</v>
      </c>
      <c r="CR9" t="s">
        <v>2154</v>
      </c>
      <c r="CS9" t="s">
        <v>2146</v>
      </c>
      <c r="CT9" t="s">
        <v>2154</v>
      </c>
      <c r="CU9" t="s">
        <v>2125</v>
      </c>
      <c r="CV9" t="s">
        <v>2135</v>
      </c>
      <c r="CY9" t="s">
        <v>2125</v>
      </c>
      <c r="CZ9" t="s">
        <v>2135</v>
      </c>
      <c r="DG9" t="s">
        <v>2125</v>
      </c>
      <c r="DH9" t="s">
        <v>2135</v>
      </c>
      <c r="DI9" t="s">
        <v>2125</v>
      </c>
      <c r="DJ9" t="s">
        <v>2135</v>
      </c>
      <c r="DN9" s="12" t="s">
        <v>127</v>
      </c>
      <c r="DO9" s="12" t="s">
        <v>127</v>
      </c>
    </row>
    <row r="10" spans="1:121">
      <c r="A10" s="329" t="str">
        <f>'Translate&amp;Prices&amp;Logo'!B13</f>
        <v>BRW zlatá</v>
      </c>
      <c r="B10">
        <v>1</v>
      </c>
      <c r="C10" t="s">
        <v>1215</v>
      </c>
      <c r="D10">
        <v>0</v>
      </c>
      <c r="Q10" s="329" t="str">
        <f>'Translate&amp;Prices&amp;Logo'!$B$110</f>
        <v>Stopsol bronz - maximální rozměr 2250 x 1605 mm</v>
      </c>
      <c r="R10" s="329" t="str">
        <f>'Translate&amp;Prices&amp;Logo'!$B$123</f>
        <v>Master  Point - maximální rozměr 2000 x 1605 mm</v>
      </c>
      <c r="S10" s="329" t="str">
        <f>'Translate&amp;Prices&amp;Logo'!$B$110</f>
        <v>Stopsol bronz - maximální rozměr 2250 x 1605 mm</v>
      </c>
      <c r="U10" s="329" t="str">
        <f>'Translate&amp;Prices&amp;Logo'!$B$129</f>
        <v>Lacobel RAL 2001 - maximální rozměr 2550 x 1605 mm</v>
      </c>
      <c r="V10" s="329" t="str">
        <f>'Translate&amp;Prices&amp;Logo'!$B$129</f>
        <v>Lacobel RAL 2001 - maximální rozměr 2550 x 1605 mm</v>
      </c>
      <c r="AF10" s="296" t="s">
        <v>246</v>
      </c>
      <c r="AG10" s="296" t="s">
        <v>2021</v>
      </c>
      <c r="AY10" t="s">
        <v>2008</v>
      </c>
      <c r="AZ10" t="s">
        <v>2080</v>
      </c>
      <c r="CA10">
        <v>224</v>
      </c>
      <c r="CD10" t="s">
        <v>2029</v>
      </c>
      <c r="CE10">
        <v>1</v>
      </c>
      <c r="CK10" t="s">
        <v>2126</v>
      </c>
      <c r="CL10" t="s">
        <v>2136</v>
      </c>
      <c r="CM10" t="s">
        <v>2126</v>
      </c>
      <c r="CN10" t="s">
        <v>2136</v>
      </c>
      <c r="CO10" t="s">
        <v>2126</v>
      </c>
      <c r="CP10" t="s">
        <v>2136</v>
      </c>
      <c r="CQ10" t="s">
        <v>2147</v>
      </c>
      <c r="CR10" t="s">
        <v>2155</v>
      </c>
      <c r="CS10" t="s">
        <v>2147</v>
      </c>
      <c r="CT10" t="s">
        <v>2155</v>
      </c>
      <c r="CU10" t="s">
        <v>2126</v>
      </c>
      <c r="CV10" t="s">
        <v>2136</v>
      </c>
      <c r="CY10" t="s">
        <v>2126</v>
      </c>
      <c r="CZ10" t="s">
        <v>2136</v>
      </c>
      <c r="DG10" t="s">
        <v>2126</v>
      </c>
      <c r="DH10" t="s">
        <v>2136</v>
      </c>
      <c r="DI10" t="s">
        <v>2126</v>
      </c>
      <c r="DJ10" t="s">
        <v>2136</v>
      </c>
      <c r="DN10" t="s">
        <v>125</v>
      </c>
      <c r="DO10" s="12" t="s">
        <v>125</v>
      </c>
    </row>
    <row r="11" spans="1:121">
      <c r="A11" s="329" t="str">
        <f>'Translate&amp;Prices&amp;Logo'!B14</f>
        <v>BRW černá broušená</v>
      </c>
      <c r="B11">
        <v>1</v>
      </c>
      <c r="C11" t="s">
        <v>1215</v>
      </c>
      <c r="D11">
        <v>0</v>
      </c>
      <c r="Q11" s="329" t="str">
        <f>'Translate&amp;Prices&amp;Logo'!$B$111</f>
        <v>Lakomat - maximální rozměr 2550 x 1605 mm</v>
      </c>
      <c r="R11" s="329" t="str">
        <f>'Translate&amp;Prices&amp;Logo'!$B$125</f>
        <v>Master  Shine - maximální rozměr 2000 x 1605 mm</v>
      </c>
      <c r="S11" s="329" t="str">
        <f>'Translate&amp;Prices&amp;Logo'!$B$113</f>
        <v>Antisol bronz - maximální rozměr 2550 x 1605 mm</v>
      </c>
      <c r="U11" s="329" t="str">
        <f>'Translate&amp;Prices&amp;Logo'!$B$130</f>
        <v>Lacobel RAL 3004 - maximální rozměr 2550 x 1605 mm</v>
      </c>
      <c r="V11" s="329" t="str">
        <f>'Translate&amp;Prices&amp;Logo'!$B$130</f>
        <v>Lacobel RAL 3004 - maximální rozměr 2550 x 1605 mm</v>
      </c>
      <c r="AF11" s="293" t="s">
        <v>245</v>
      </c>
      <c r="AG11" s="293" t="s">
        <v>2023</v>
      </c>
      <c r="AY11" t="s">
        <v>2008</v>
      </c>
      <c r="AZ11" t="s">
        <v>2081</v>
      </c>
      <c r="CA11">
        <v>240</v>
      </c>
      <c r="CD11" t="s">
        <v>2177</v>
      </c>
      <c r="CE11">
        <v>1</v>
      </c>
      <c r="CK11" t="s">
        <v>2127</v>
      </c>
      <c r="CM11" t="s">
        <v>2127</v>
      </c>
      <c r="CO11" t="s">
        <v>2127</v>
      </c>
      <c r="CQ11" t="s">
        <v>2148</v>
      </c>
      <c r="CS11" t="s">
        <v>2148</v>
      </c>
      <c r="CU11" t="s">
        <v>2127</v>
      </c>
      <c r="CY11" t="s">
        <v>2127</v>
      </c>
      <c r="DG11" t="s">
        <v>2127</v>
      </c>
      <c r="DI11" t="s">
        <v>2127</v>
      </c>
      <c r="DN11" t="s">
        <v>126</v>
      </c>
      <c r="DO11" s="12" t="s">
        <v>126</v>
      </c>
    </row>
    <row r="12" spans="1:121">
      <c r="A12" s="329" t="str">
        <f>'Translate&amp;Prices&amp;Logo'!B15</f>
        <v>BRW světlá nerez (ACIER GRATA)</v>
      </c>
      <c r="B12">
        <v>1</v>
      </c>
      <c r="C12" t="s">
        <v>1215</v>
      </c>
      <c r="D12">
        <v>0</v>
      </c>
      <c r="Q12" s="329" t="str">
        <f>'Translate&amp;Prices&amp;Logo'!$B$112</f>
        <v>MASTER FLEX - maximální rozměr 2000 x 1605 mm</v>
      </c>
      <c r="R12" s="329" t="str">
        <f>'Translate&amp;Prices&amp;Logo'!$B$126</f>
        <v>Lacobel RAL 1013 - maximální rozměr 2550 x 1605 mm</v>
      </c>
      <c r="S12" s="329" t="str">
        <f>'Translate&amp;Prices&amp;Logo'!$B$114</f>
        <v>Antisol grafit - maximální rozměr 2550 x 1605 mm</v>
      </c>
      <c r="U12" s="329" t="str">
        <f>'Translate&amp;Prices&amp;Logo'!$B$131</f>
        <v>Lacobel RAL 4006 - maximální rozměr 2550 x 1605 mm</v>
      </c>
      <c r="V12" s="329" t="str">
        <f>'Translate&amp;Prices&amp;Logo'!$B$131</f>
        <v>Lacobel RAL 4006 - maximální rozměr 2550 x 1605 mm</v>
      </c>
      <c r="AF12" s="293" t="s">
        <v>246</v>
      </c>
      <c r="AG12" s="293" t="s">
        <v>2023</v>
      </c>
      <c r="AY12" t="s">
        <v>2008</v>
      </c>
      <c r="AZ12" t="s">
        <v>2082</v>
      </c>
      <c r="CA12">
        <v>256</v>
      </c>
      <c r="CD12" t="s">
        <v>2032</v>
      </c>
      <c r="CE12">
        <v>1</v>
      </c>
      <c r="CK12" t="s">
        <v>2128</v>
      </c>
      <c r="CM12" t="s">
        <v>2128</v>
      </c>
      <c r="CO12" t="s">
        <v>2128</v>
      </c>
      <c r="CQ12" t="s">
        <v>2149</v>
      </c>
      <c r="CS12" t="s">
        <v>2149</v>
      </c>
      <c r="CU12" t="s">
        <v>2128</v>
      </c>
      <c r="CY12" t="s">
        <v>2128</v>
      </c>
      <c r="DG12" t="s">
        <v>2128</v>
      </c>
      <c r="DI12" t="s">
        <v>2128</v>
      </c>
      <c r="DN12" t="s">
        <v>127</v>
      </c>
      <c r="DO12" s="12" t="s">
        <v>127</v>
      </c>
    </row>
    <row r="13" spans="1:121">
      <c r="A13" s="329">
        <f>'Translate&amp;Prices&amp;Logo'!B16</f>
        <v>0</v>
      </c>
      <c r="B13">
        <v>1</v>
      </c>
      <c r="C13" t="s">
        <v>1215</v>
      </c>
      <c r="D13">
        <v>0</v>
      </c>
      <c r="Q13" s="329" t="str">
        <f>'Translate&amp;Prices&amp;Logo'!$B$113</f>
        <v>Antisol bronz - maximální rozměr 2550 x 1605 mm</v>
      </c>
      <c r="R13" s="329" t="str">
        <f>'Translate&amp;Prices&amp;Logo'!$B$127</f>
        <v>Lacobel RAL 1014 - maximální rozměr 2550 x 1605 mm</v>
      </c>
      <c r="S13" s="329" t="str">
        <f>'Translate&amp;Prices&amp;Logo'!$B$119</f>
        <v>Krizet - maximální rozměr 2130 x 1650 mm</v>
      </c>
      <c r="U13" s="329" t="str">
        <f>'Translate&amp;Prices&amp;Logo'!$B$132</f>
        <v>Lacobel RAL 5002 - maximální rozměr 2550 x 1605 mm</v>
      </c>
      <c r="V13" s="329" t="str">
        <f>'Translate&amp;Prices&amp;Logo'!$B$132</f>
        <v>Lacobel RAL 5002 - maximální rozměr 2550 x 1605 mm</v>
      </c>
      <c r="AF13" s="296" t="s">
        <v>245</v>
      </c>
      <c r="AG13" s="296" t="s">
        <v>2026</v>
      </c>
      <c r="AY13" t="s">
        <v>2008</v>
      </c>
      <c r="AZ13" t="s">
        <v>2083</v>
      </c>
      <c r="BY13" t="str">
        <f>'Translate&amp;Prices&amp;Logo'!B557</f>
        <v>Ne</v>
      </c>
      <c r="BZ13">
        <v>0</v>
      </c>
      <c r="CA13">
        <v>288</v>
      </c>
      <c r="CD13" t="s">
        <v>2176</v>
      </c>
      <c r="CE13">
        <v>1</v>
      </c>
      <c r="DN13" t="s">
        <v>485</v>
      </c>
      <c r="DO13" s="12" t="s">
        <v>125</v>
      </c>
    </row>
    <row r="14" spans="1:121">
      <c r="A14" s="329" t="str">
        <f>'Translate&amp;Prices&amp;Logo'!B17</f>
        <v>BRW tmavá nerez br. (Inox lija)</v>
      </c>
      <c r="B14">
        <v>1</v>
      </c>
      <c r="C14" t="s">
        <v>1215</v>
      </c>
      <c r="D14">
        <v>0</v>
      </c>
      <c r="F14" t="str">
        <f>'Translate&amp;Prices&amp;Logo'!B77</f>
        <v>Varna elox (Vlevo a Vpravo) + Siena elox (Nahoře a dole)</v>
      </c>
      <c r="Q14" s="329" t="str">
        <f>'Translate&amp;Prices&amp;Logo'!$B$114</f>
        <v>Antisol grafit - maximální rozměr 2550 x 1605 mm</v>
      </c>
      <c r="R14" s="329" t="str">
        <f>'Translate&amp;Prices&amp;Logo'!$B$128</f>
        <v>Lacobel RAL 1015 - maximální rozměr 2550 x 1605 mm</v>
      </c>
      <c r="S14" s="329" t="str">
        <f>'Translate&amp;Prices&amp;Logo'!$B$120</f>
        <v>Master (Carre) - maximální rozměr 2000 x 1605 mm</v>
      </c>
      <c r="U14" s="329" t="str">
        <f>'Translate&amp;Prices&amp;Logo'!$B$133</f>
        <v>Lacobel RAL 7035 - maximální rozměr 2550 x 1605 mm</v>
      </c>
      <c r="V14" s="329" t="str">
        <f>'Translate&amp;Prices&amp;Logo'!$B$133</f>
        <v>Lacobel RAL 7035 - maximální rozměr 2550 x 1605 mm</v>
      </c>
      <c r="AA14" t="s">
        <v>2020</v>
      </c>
      <c r="AB14" t="s">
        <v>2069</v>
      </c>
      <c r="AF14" s="296" t="s">
        <v>246</v>
      </c>
      <c r="AG14" s="296" t="s">
        <v>2026</v>
      </c>
      <c r="AY14" t="s">
        <v>2008</v>
      </c>
      <c r="AZ14" t="s">
        <v>2084</v>
      </c>
      <c r="BY14" t="str">
        <f>'Translate&amp;Prices&amp;Logo'!B558</f>
        <v>Horizontálně</v>
      </c>
      <c r="BZ14">
        <v>1</v>
      </c>
      <c r="CA14">
        <v>320</v>
      </c>
      <c r="CD14" t="s">
        <v>2034</v>
      </c>
      <c r="CE14">
        <v>1</v>
      </c>
      <c r="DN14" t="s">
        <v>486</v>
      </c>
      <c r="DO14" s="12" t="s">
        <v>126</v>
      </c>
    </row>
    <row r="15" spans="1:121">
      <c r="A15" s="329" t="str">
        <f>'Translate&amp;Prices&amp;Logo'!B18</f>
        <v>Corleone (elox.)</v>
      </c>
      <c r="B15">
        <v>2</v>
      </c>
      <c r="C15" t="s">
        <v>1215</v>
      </c>
      <c r="D15">
        <v>0</v>
      </c>
      <c r="F15" t="str">
        <f>'Translate&amp;Prices&amp;Logo'!B78</f>
        <v>Siena elox (Vlevo a vpravo) + Varna elox (Nahoře a dole)</v>
      </c>
      <c r="Q15" s="329" t="str">
        <f>'Translate&amp;Prices&amp;Logo'!$B$115</f>
        <v>Zrcadlo - maximální rozměr 2550 x 1605 mm</v>
      </c>
      <c r="R15" s="329" t="str">
        <f>'Translate&amp;Prices&amp;Logo'!$B$129</f>
        <v>Lacobel RAL 2001 - maximální rozměr 2550 x 1605 mm</v>
      </c>
      <c r="S15" s="329" t="str">
        <f>'Translate&amp;Prices&amp;Logo'!$B$121</f>
        <v>Master  Lens  - maximální rozměr 2000 x 1605 mm</v>
      </c>
      <c r="U15" s="329" t="str">
        <f>'Translate&amp;Prices&amp;Logo'!$B$134</f>
        <v>Lacobel RAL 8017 - maximální rozměr 2550 x 1605 mm</v>
      </c>
      <c r="V15" s="329" t="str">
        <f>'Translate&amp;Prices&amp;Logo'!$B$134</f>
        <v>Lacobel RAL 8017 - maximální rozměr 2550 x 1605 mm</v>
      </c>
      <c r="AA15" t="s">
        <v>2020</v>
      </c>
      <c r="AB15" t="s">
        <v>2018</v>
      </c>
      <c r="AC15">
        <v>1</v>
      </c>
      <c r="AD15">
        <v>0</v>
      </c>
      <c r="AF15" s="293" t="s">
        <v>245</v>
      </c>
      <c r="AG15" s="293" t="s">
        <v>2028</v>
      </c>
      <c r="AY15" t="s">
        <v>1014</v>
      </c>
      <c r="BY15" t="str">
        <f>'Translate&amp;Prices&amp;Logo'!B559</f>
        <v>Vertikálně</v>
      </c>
      <c r="BZ15">
        <v>2</v>
      </c>
      <c r="CD15" t="s">
        <v>2035</v>
      </c>
      <c r="CE15">
        <v>1</v>
      </c>
      <c r="DN15" t="s">
        <v>2235</v>
      </c>
      <c r="DO15" s="12" t="s">
        <v>127</v>
      </c>
    </row>
    <row r="16" spans="1:121">
      <c r="A16" s="329" t="str">
        <f>'Translate&amp;Prices&amp;Logo'!B19</f>
        <v>Corleone černé mat</v>
      </c>
      <c r="B16">
        <v>2</v>
      </c>
      <c r="C16" t="s">
        <v>1215</v>
      </c>
      <c r="D16">
        <v>0</v>
      </c>
      <c r="F16" t="str">
        <f>'Translate&amp;Prices&amp;Logo'!B81</f>
        <v>Varna elox (Vlevo a Vpravo) + Palio elox (Nahoře a dole)</v>
      </c>
      <c r="Q16" s="329" t="str">
        <f>'Translate&amp;Prices&amp;Logo'!$B$116</f>
        <v>Zrcadlo hnědé - maximální rozměr 2250 x 1605 mm</v>
      </c>
      <c r="R16" s="329" t="str">
        <f>'Translate&amp;Prices&amp;Logo'!$B$130</f>
        <v>Lacobel RAL 3004 - maximální rozměr 2550 x 1605 mm</v>
      </c>
      <c r="S16" s="329" t="str">
        <f>'Translate&amp;Prices&amp;Logo'!$B$122</f>
        <v>Master  Ligne - maximální rozměr 2000 x 1605 mm</v>
      </c>
      <c r="U16" s="329" t="str">
        <f>'Translate&amp;Prices&amp;Logo'!$B$135</f>
        <v>Lacobel RAL 9003 - maximální rozměr 2550 x 1605 mm</v>
      </c>
      <c r="V16" s="329" t="str">
        <f>'Translate&amp;Prices&amp;Logo'!$B$135</f>
        <v>Lacobel RAL 9003 - maximální rozměr 2550 x 1605 mm</v>
      </c>
      <c r="AA16" t="s">
        <v>2020</v>
      </c>
      <c r="AB16" t="s">
        <v>2021</v>
      </c>
      <c r="AC16">
        <v>1</v>
      </c>
      <c r="AD16">
        <v>1</v>
      </c>
      <c r="AF16" s="293" t="s">
        <v>246</v>
      </c>
      <c r="AG16" s="293" t="s">
        <v>2028</v>
      </c>
      <c r="AY16" t="s">
        <v>1014</v>
      </c>
      <c r="AZ16" t="s">
        <v>2085</v>
      </c>
      <c r="BY16" t="str">
        <f>'Translate&amp;Prices&amp;Logo'!B560</f>
        <v>Horizontálně i Vertikálně</v>
      </c>
      <c r="BZ16">
        <v>3</v>
      </c>
      <c r="CD16" t="s">
        <v>2178</v>
      </c>
      <c r="CE16">
        <v>1</v>
      </c>
      <c r="DN16" t="s">
        <v>561</v>
      </c>
      <c r="DO16" s="12" t="s">
        <v>125</v>
      </c>
    </row>
    <row r="17" spans="1:119">
      <c r="A17" s="329">
        <f>'Translate&amp;Prices&amp;Logo'!B20</f>
        <v>0</v>
      </c>
      <c r="B17">
        <v>2</v>
      </c>
      <c r="C17" t="s">
        <v>1215</v>
      </c>
      <c r="D17">
        <v>0</v>
      </c>
      <c r="F17" t="str">
        <f>'Translate&amp;Prices&amp;Logo'!B82</f>
        <v>Palio elox (Vlevo a vpravo) + Varna elox (Nahoře a dole)</v>
      </c>
      <c r="Q17" s="329" t="str">
        <f>'Translate&amp;Prices&amp;Logo'!$B$117</f>
        <v>Zrcadlo grafit - maximální rozměr 2550 x 1605 mm</v>
      </c>
      <c r="R17" s="329" t="str">
        <f>'Translate&amp;Prices&amp;Logo'!$B$131</f>
        <v>Lacobel RAL 4006 - maximální rozměr 2550 x 1605 mm</v>
      </c>
      <c r="S17" s="329" t="str">
        <f>'Translate&amp;Prices&amp;Logo'!$B$123</f>
        <v>Master  Point - maximální rozměr 2000 x 1605 mm</v>
      </c>
      <c r="U17" s="329" t="str">
        <f>'Translate&amp;Prices&amp;Logo'!$B$136</f>
        <v>Lacobel RAL 9005 - maximální rozměr 2550 x 1605 mm</v>
      </c>
      <c r="V17" s="329" t="str">
        <f>'Translate&amp;Prices&amp;Logo'!$B$136</f>
        <v>Lacobel RAL 9005 - maximální rozměr 2550 x 1605 mm</v>
      </c>
      <c r="AA17" t="s">
        <v>2020</v>
      </c>
      <c r="AB17" t="s">
        <v>2022</v>
      </c>
      <c r="AC17">
        <v>0</v>
      </c>
      <c r="AD17">
        <v>0</v>
      </c>
      <c r="AF17" s="296" t="s">
        <v>245</v>
      </c>
      <c r="AG17" s="296" t="s">
        <v>2029</v>
      </c>
      <c r="AY17" t="s">
        <v>1014</v>
      </c>
      <c r="AZ17" t="s">
        <v>2086</v>
      </c>
      <c r="CD17" t="s">
        <v>2179</v>
      </c>
      <c r="CE17">
        <v>1</v>
      </c>
      <c r="DN17" t="s">
        <v>562</v>
      </c>
      <c r="DO17" s="12" t="s">
        <v>126</v>
      </c>
    </row>
    <row r="18" spans="1:119">
      <c r="A18" s="329" t="str">
        <f>'Translate&amp;Prices&amp;Logo'!B21</f>
        <v>Imola (elox.)</v>
      </c>
      <c r="B18">
        <v>2</v>
      </c>
      <c r="C18" t="s">
        <v>2054</v>
      </c>
      <c r="D18">
        <v>0</v>
      </c>
      <c r="F18" t="str">
        <f>'Translate&amp;Prices&amp;Logo'!B83</f>
        <v>Varna elox (Vlevo a Vpravo) + Rocca elox (Nahoře a dole)</v>
      </c>
      <c r="Q18" s="329" t="str">
        <f>'Translate&amp;Prices&amp;Logo'!$B$119</f>
        <v>Krizet - maximální rozměr 2130 x 1650 mm</v>
      </c>
      <c r="R18" s="329" t="str">
        <f>'Translate&amp;Prices&amp;Logo'!$B$132</f>
        <v>Lacobel RAL 5002 - maximální rozměr 2550 x 1605 mm</v>
      </c>
      <c r="S18" s="329" t="str">
        <f>'Translate&amp;Prices&amp;Logo'!$B$124</f>
        <v>FLUTES - maximální rozměr 2540 x 1610 mm</v>
      </c>
      <c r="U18" s="329" t="str">
        <f>'Translate&amp;Prices&amp;Logo'!$B$137</f>
        <v>Lacobel RAL 9006 - maximální rozměr 2550 x 1605 mm</v>
      </c>
      <c r="V18" s="329" t="str">
        <f>'Translate&amp;Prices&amp;Logo'!$B$137</f>
        <v>Lacobel RAL 9006 - maximální rozměr 2550 x 1605 mm</v>
      </c>
      <c r="AA18" t="s">
        <v>2020</v>
      </c>
      <c r="AB18" t="s">
        <v>2024</v>
      </c>
      <c r="AC18">
        <v>0</v>
      </c>
      <c r="AD18">
        <v>0</v>
      </c>
      <c r="AF18" s="296" t="s">
        <v>246</v>
      </c>
      <c r="AG18" s="296" t="s">
        <v>2029</v>
      </c>
      <c r="AY18" t="s">
        <v>1014</v>
      </c>
      <c r="AZ18" t="s">
        <v>2087</v>
      </c>
      <c r="BY18">
        <v>1</v>
      </c>
      <c r="CD18" t="s">
        <v>2040</v>
      </c>
      <c r="CE18">
        <v>1</v>
      </c>
      <c r="DN18" t="s">
        <v>563</v>
      </c>
      <c r="DO18" s="12" t="s">
        <v>127</v>
      </c>
    </row>
    <row r="19" spans="1:119">
      <c r="A19" s="329" t="str">
        <f>'Translate&amp;Prices&amp;Logo'!B22</f>
        <v>Imola černá mat</v>
      </c>
      <c r="B19">
        <v>2</v>
      </c>
      <c r="C19" t="s">
        <v>2054</v>
      </c>
      <c r="D19">
        <v>0</v>
      </c>
      <c r="F19" t="str">
        <f>'Translate&amp;Prices&amp;Logo'!B84</f>
        <v>Rocca elox (Vlevo a vpravo) + Varna elox (Nahoře a dole)</v>
      </c>
      <c r="Q19" s="329" t="str">
        <f>'Translate&amp;Prices&amp;Logo'!$B$120</f>
        <v>Master (Carre) - maximální rozměr 2000 x 1605 mm</v>
      </c>
      <c r="R19" s="329" t="str">
        <f>'Translate&amp;Prices&amp;Logo'!$B$133</f>
        <v>Lacobel RAL 7035 - maximální rozměr 2550 x 1605 mm</v>
      </c>
      <c r="S19" s="329" t="str">
        <f>'Translate&amp;Prices&amp;Logo'!$B$125</f>
        <v>Master  Shine - maximální rozměr 2000 x 1605 mm</v>
      </c>
      <c r="U19" s="329" t="str">
        <f>'Translate&amp;Prices&amp;Logo'!$B$138</f>
        <v>Lacobel RAL 9007 - maximální rozměr 2550 x 1605 mm</v>
      </c>
      <c r="V19" s="329" t="str">
        <f>'Translate&amp;Prices&amp;Logo'!$B$138</f>
        <v>Lacobel RAL 9007 - maximální rozměr 2550 x 1605 mm</v>
      </c>
      <c r="AA19" t="s">
        <v>2020</v>
      </c>
      <c r="AB19" t="s">
        <v>2025</v>
      </c>
      <c r="AC19">
        <v>0</v>
      </c>
      <c r="AD19">
        <v>0</v>
      </c>
      <c r="AF19" s="293" t="s">
        <v>245</v>
      </c>
      <c r="AG19" s="293" t="s">
        <v>2031</v>
      </c>
      <c r="AY19" t="s">
        <v>1014</v>
      </c>
      <c r="AZ19" t="s">
        <v>2088</v>
      </c>
      <c r="BY19">
        <v>2</v>
      </c>
    </row>
    <row r="20" spans="1:119">
      <c r="A20" s="329" t="str">
        <f>'Translate&amp;Prices&amp;Logo'!B23</f>
        <v>Imola bílá mat</v>
      </c>
      <c r="B20">
        <v>2</v>
      </c>
      <c r="C20" t="s">
        <v>2054</v>
      </c>
      <c r="D20">
        <v>0</v>
      </c>
      <c r="Q20" s="329" t="str">
        <f>'Translate&amp;Prices&amp;Logo'!$B$121</f>
        <v>Master  Lens  - maximální rozměr 2000 x 1605 mm</v>
      </c>
      <c r="R20" s="329" t="str">
        <f>'Translate&amp;Prices&amp;Logo'!$B$134</f>
        <v>Lacobel RAL 8017 - maximální rozměr 2550 x 1605 mm</v>
      </c>
      <c r="U20" s="329" t="str">
        <f>'Translate&amp;Prices&amp;Logo'!$B$139</f>
        <v>Lacobel RAL 9010 - maximální rozměr 2550 x 1605 mm</v>
      </c>
      <c r="V20" s="329" t="str">
        <f>'Translate&amp;Prices&amp;Logo'!$B$139</f>
        <v>Lacobel RAL 9010 - maximální rozměr 2550 x 1605 mm</v>
      </c>
      <c r="AA20" t="s">
        <v>2020</v>
      </c>
      <c r="AB20" t="s">
        <v>2027</v>
      </c>
      <c r="AC20">
        <v>0</v>
      </c>
      <c r="AD20">
        <v>0</v>
      </c>
      <c r="AF20" s="293" t="s">
        <v>246</v>
      </c>
      <c r="AG20" s="293" t="s">
        <v>2031</v>
      </c>
      <c r="AY20" t="s">
        <v>1014</v>
      </c>
      <c r="AZ20" t="s">
        <v>2089</v>
      </c>
      <c r="BY20">
        <v>3</v>
      </c>
    </row>
    <row r="21" spans="1:119">
      <c r="A21" s="329" t="str">
        <f>'Translate&amp;Prices&amp;Logo'!B24</f>
        <v>Modena (elox.)</v>
      </c>
      <c r="B21">
        <v>2</v>
      </c>
      <c r="C21" t="s">
        <v>1215</v>
      </c>
      <c r="D21">
        <v>0</v>
      </c>
      <c r="Q21" s="329" t="str">
        <f>'Translate&amp;Prices&amp;Logo'!$B$122</f>
        <v>Master  Ligne - maximální rozměr 2000 x 1605 mm</v>
      </c>
      <c r="R21" s="329" t="str">
        <f>'Translate&amp;Prices&amp;Logo'!$B$135</f>
        <v>Lacobel RAL 9003 - maximální rozměr 2550 x 1605 mm</v>
      </c>
      <c r="U21" s="329" t="str">
        <f>'Translate&amp;Prices&amp;Logo'!$B$140</f>
        <v>Lacobel RAL 0128 - maximální rozměr 2550 x 1605 mm</v>
      </c>
      <c r="V21" s="329" t="str">
        <f>'Translate&amp;Prices&amp;Logo'!$B$140</f>
        <v>Lacobel RAL 0128 - maximální rozměr 2550 x 1605 mm</v>
      </c>
      <c r="AA21" t="s">
        <v>2020</v>
      </c>
      <c r="AB21" t="s">
        <v>2023</v>
      </c>
      <c r="AC21">
        <v>1</v>
      </c>
      <c r="AD21">
        <v>0</v>
      </c>
      <c r="AF21" s="296" t="s">
        <v>245</v>
      </c>
      <c r="AG21" s="296" t="s">
        <v>2032</v>
      </c>
      <c r="BY21">
        <v>4</v>
      </c>
    </row>
    <row r="22" spans="1:119">
      <c r="A22" s="329" t="str">
        <f>'Translate&amp;Prices&amp;Logo'!B25</f>
        <v>Modena černá mat</v>
      </c>
      <c r="B22">
        <v>2</v>
      </c>
      <c r="C22" t="s">
        <v>1215</v>
      </c>
      <c r="D22">
        <v>0</v>
      </c>
      <c r="Q22" s="329" t="str">
        <f>'Translate&amp;Prices&amp;Logo'!$B$123</f>
        <v>Master  Point - maximální rozměr 2000 x 1605 mm</v>
      </c>
      <c r="R22" s="329" t="str">
        <f>'Translate&amp;Prices&amp;Logo'!$B$136</f>
        <v>Lacobel RAL 9005 - maximální rozměr 2550 x 1605 mm</v>
      </c>
      <c r="U22" s="329" t="str">
        <f>'Translate&amp;Prices&amp;Logo'!$B$141</f>
        <v>Lacobel RAL 0327 - maximální rozměr 2550 x 1605 mm</v>
      </c>
      <c r="V22" s="329" t="str">
        <f>'Translate&amp;Prices&amp;Logo'!$B$141</f>
        <v>Lacobel RAL 0327 - maximální rozměr 2550 x 1605 mm</v>
      </c>
      <c r="AA22" t="s">
        <v>2020</v>
      </c>
      <c r="AB22" t="s">
        <v>2182</v>
      </c>
      <c r="AC22">
        <v>1</v>
      </c>
      <c r="AD22">
        <v>0</v>
      </c>
      <c r="AF22" s="296" t="s">
        <v>246</v>
      </c>
      <c r="AG22" s="296" t="s">
        <v>2032</v>
      </c>
      <c r="BY22">
        <v>5</v>
      </c>
    </row>
    <row r="23" spans="1:119">
      <c r="A23" s="329" t="str">
        <f>'Translate&amp;Prices&amp;Logo'!B26</f>
        <v>Verona zlatá</v>
      </c>
      <c r="B23">
        <v>2</v>
      </c>
      <c r="C23" t="s">
        <v>1215</v>
      </c>
      <c r="D23">
        <v>0</v>
      </c>
      <c r="G23" s="788"/>
      <c r="H23" s="788"/>
      <c r="I23" s="788"/>
      <c r="Q23" s="329" t="str">
        <f>'Translate&amp;Prices&amp;Logo'!$B$124</f>
        <v>FLUTES - maximální rozměr 2540 x 1610 mm</v>
      </c>
      <c r="R23" s="329" t="str">
        <f>'Translate&amp;Prices&amp;Logo'!$B$137</f>
        <v>Lacobel RAL 9006 - maximální rozměr 2550 x 1605 mm</v>
      </c>
      <c r="U23" s="329">
        <f>'Translate&amp;Prices&amp;Logo'!$B$142</f>
        <v>0</v>
      </c>
      <c r="V23" s="329">
        <f>'Translate&amp;Prices&amp;Logo'!$B$142</f>
        <v>0</v>
      </c>
      <c r="AA23" t="s">
        <v>2020</v>
      </c>
      <c r="AB23" t="s">
        <v>2028</v>
      </c>
      <c r="AC23">
        <v>1</v>
      </c>
      <c r="AD23">
        <v>0</v>
      </c>
      <c r="AF23" s="293" t="s">
        <v>245</v>
      </c>
      <c r="AG23" s="293" t="s">
        <v>2033</v>
      </c>
      <c r="BY23">
        <v>6</v>
      </c>
    </row>
    <row r="24" spans="1:119">
      <c r="A24" s="329" t="str">
        <f>'Translate&amp;Prices&amp;Logo'!B27</f>
        <v>Modena černá broušená</v>
      </c>
      <c r="B24">
        <v>2</v>
      </c>
      <c r="C24" t="s">
        <v>1215</v>
      </c>
      <c r="D24">
        <v>0</v>
      </c>
      <c r="G24" s="788"/>
      <c r="H24" s="788"/>
      <c r="I24" s="788"/>
      <c r="Q24" s="329" t="str">
        <f>'Translate&amp;Prices&amp;Logo'!$B$125</f>
        <v>Master  Shine - maximální rozměr 2000 x 1605 mm</v>
      </c>
      <c r="R24" s="329" t="str">
        <f>'Translate&amp;Prices&amp;Logo'!$B$138</f>
        <v>Lacobel RAL 9007 - maximální rozměr 2550 x 1605 mm</v>
      </c>
      <c r="U24" s="329">
        <f>'Translate&amp;Prices&amp;Logo'!$B$143</f>
        <v>0</v>
      </c>
      <c r="V24" s="329">
        <f>'Translate&amp;Prices&amp;Logo'!$B$143</f>
        <v>0</v>
      </c>
      <c r="AF24" s="293" t="s">
        <v>246</v>
      </c>
      <c r="AG24" s="293" t="s">
        <v>2033</v>
      </c>
      <c r="BY24">
        <v>7</v>
      </c>
    </row>
    <row r="25" spans="1:119">
      <c r="A25" s="329" t="str">
        <f>'Translate&amp;Prices&amp;Logo'!B28</f>
        <v>Modena tmavá nerez br. (inox lija)</v>
      </c>
      <c r="B25">
        <v>2</v>
      </c>
      <c r="C25" t="s">
        <v>1215</v>
      </c>
      <c r="D25">
        <v>0</v>
      </c>
      <c r="G25" s="788"/>
      <c r="H25" s="788"/>
      <c r="I25" s="788"/>
      <c r="Q25" s="329" t="str">
        <f>'Translate&amp;Prices&amp;Logo'!$B$126</f>
        <v>Lacobel RAL 1013 - maximální rozměr 2550 x 1605 mm</v>
      </c>
      <c r="R25" s="329" t="str">
        <f>'Translate&amp;Prices&amp;Logo'!$B$139</f>
        <v>Lacobel RAL 9010 - maximální rozměr 2550 x 1605 mm</v>
      </c>
      <c r="U25" s="329" t="str">
        <f>'Translate&amp;Prices&amp;Logo'!$B$144</f>
        <v>Lacobel RAL 0667 - maximální rozměr 2550 x 1605 mm</v>
      </c>
      <c r="V25" s="329" t="str">
        <f>'Translate&amp;Prices&amp;Logo'!$B$144</f>
        <v>Lacobel RAL 0667 - maximální rozměr 2550 x 1605 mm</v>
      </c>
      <c r="AF25" s="296" t="s">
        <v>245</v>
      </c>
      <c r="AG25" s="296" t="s">
        <v>2034</v>
      </c>
      <c r="BY25">
        <v>8</v>
      </c>
    </row>
    <row r="26" spans="1:119">
      <c r="A26" s="329" t="str">
        <f>'Translate&amp;Prices&amp;Logo'!B29</f>
        <v>Palio (elox.)</v>
      </c>
      <c r="B26">
        <v>2</v>
      </c>
      <c r="C26" t="s">
        <v>1215</v>
      </c>
      <c r="D26">
        <v>0</v>
      </c>
      <c r="G26" s="788"/>
      <c r="H26" s="788"/>
      <c r="I26" s="788"/>
      <c r="Q26" s="329" t="str">
        <f>'Translate&amp;Prices&amp;Logo'!$B$127</f>
        <v>Lacobel RAL 1014 - maximální rozměr 2550 x 1605 mm</v>
      </c>
      <c r="R26" s="329" t="str">
        <f>'Translate&amp;Prices&amp;Logo'!$B$140</f>
        <v>Lacobel RAL 0128 - maximální rozměr 2550 x 1605 mm</v>
      </c>
      <c r="U26" s="329" t="str">
        <f>'Translate&amp;Prices&amp;Logo'!$B$145</f>
        <v>Lacobel RAL 1164 - maximální rozměr 2550 x 1605 mm</v>
      </c>
      <c r="V26" s="329" t="str">
        <f>'Translate&amp;Prices&amp;Logo'!$B$145</f>
        <v>Lacobel RAL 1164 - maximální rozměr 2550 x 1605 mm</v>
      </c>
      <c r="AF26" s="296" t="s">
        <v>246</v>
      </c>
      <c r="AG26" s="296" t="s">
        <v>2034</v>
      </c>
      <c r="BY26">
        <v>9</v>
      </c>
    </row>
    <row r="27" spans="1:119">
      <c r="A27" s="329" t="str">
        <f>'Translate&amp;Prices&amp;Logo'!B30</f>
        <v>Palio černá mat</v>
      </c>
      <c r="B27">
        <v>2</v>
      </c>
      <c r="C27" t="s">
        <v>1215</v>
      </c>
      <c r="D27">
        <v>0</v>
      </c>
      <c r="G27" s="788"/>
      <c r="H27" s="788"/>
      <c r="I27" s="788"/>
      <c r="Q27" s="329" t="str">
        <f>'Translate&amp;Prices&amp;Logo'!$B$128</f>
        <v>Lacobel RAL 1015 - maximální rozměr 2550 x 1605 mm</v>
      </c>
      <c r="R27" s="329" t="str">
        <f>'Translate&amp;Prices&amp;Logo'!$B$141</f>
        <v>Lacobel RAL 0327 - maximální rozměr 2550 x 1605 mm</v>
      </c>
      <c r="U27" s="329">
        <f>'Translate&amp;Prices&amp;Logo'!$B$146</f>
        <v>0</v>
      </c>
      <c r="V27" s="329">
        <f>'Translate&amp;Prices&amp;Logo'!$B$146</f>
        <v>0</v>
      </c>
      <c r="AF27" s="293" t="s">
        <v>245</v>
      </c>
      <c r="AG27" s="293" t="s">
        <v>2035</v>
      </c>
      <c r="BY27">
        <v>10</v>
      </c>
    </row>
    <row r="28" spans="1:119">
      <c r="A28" s="329" t="str">
        <f>'Translate&amp;Prices&amp;Logo'!B31</f>
        <v>Pisa (elox.)</v>
      </c>
      <c r="B28">
        <v>2</v>
      </c>
      <c r="C28" t="s">
        <v>2054</v>
      </c>
      <c r="D28">
        <v>0</v>
      </c>
      <c r="G28" s="788"/>
      <c r="H28" s="788"/>
      <c r="I28" s="788"/>
      <c r="Q28" s="329" t="str">
        <f>'Translate&amp;Prices&amp;Logo'!$B$129</f>
        <v>Lacobel RAL 2001 - maximální rozměr 2550 x 1605 mm</v>
      </c>
      <c r="R28" s="329">
        <f>'Translate&amp;Prices&amp;Logo'!$B$142</f>
        <v>0</v>
      </c>
      <c r="U28" s="329" t="str">
        <f>'Translate&amp;Prices&amp;Logo'!$B$147</f>
        <v>Lacobel RAL 1435 - maximální rozměr 2550 x 1605 mm</v>
      </c>
      <c r="V28" s="329" t="str">
        <f>'Translate&amp;Prices&amp;Logo'!$B$147</f>
        <v>Lacobel RAL 1435 - maximální rozměr 2550 x 1605 mm</v>
      </c>
      <c r="AA28" t="s">
        <v>2030</v>
      </c>
      <c r="AB28" t="s">
        <v>2068</v>
      </c>
      <c r="AF28" s="293" t="s">
        <v>246</v>
      </c>
      <c r="AG28" s="293" t="s">
        <v>2035</v>
      </c>
    </row>
    <row r="29" spans="1:119">
      <c r="A29" s="329" t="str">
        <f>'Translate&amp;Prices&amp;Logo'!B32</f>
        <v>Pisa černá mat</v>
      </c>
      <c r="B29">
        <v>2</v>
      </c>
      <c r="C29" t="s">
        <v>2054</v>
      </c>
      <c r="D29">
        <v>0</v>
      </c>
      <c r="G29" s="788"/>
      <c r="H29" s="788"/>
      <c r="I29" s="788"/>
      <c r="Q29" s="329" t="str">
        <f>'Translate&amp;Prices&amp;Logo'!$B$130</f>
        <v>Lacobel RAL 3004 - maximální rozměr 2550 x 1605 mm</v>
      </c>
      <c r="R29" s="329">
        <f>'Translate&amp;Prices&amp;Logo'!$B$143</f>
        <v>0</v>
      </c>
      <c r="U29" s="329">
        <f>'Translate&amp;Prices&amp;Logo'!$B$148</f>
        <v>0</v>
      </c>
      <c r="V29" s="329">
        <f>'Translate&amp;Prices&amp;Logo'!$B$148</f>
        <v>0</v>
      </c>
      <c r="AA29" t="s">
        <v>2030</v>
      </c>
      <c r="AB29" t="s">
        <v>2029</v>
      </c>
      <c r="AC29">
        <v>1</v>
      </c>
      <c r="AD29">
        <v>0</v>
      </c>
      <c r="AF29" s="296" t="s">
        <v>245</v>
      </c>
      <c r="AG29" s="296" t="s">
        <v>2036</v>
      </c>
    </row>
    <row r="30" spans="1:119">
      <c r="A30" s="329" t="str">
        <f>'Translate&amp;Prices&amp;Logo'!B33</f>
        <v>Vivaro zlatá</v>
      </c>
      <c r="B30">
        <v>2</v>
      </c>
      <c r="C30" t="s">
        <v>2054</v>
      </c>
      <c r="D30">
        <v>0</v>
      </c>
      <c r="Q30" s="329" t="str">
        <f>'Translate&amp;Prices&amp;Logo'!$B$131</f>
        <v>Lacobel RAL 4006 - maximální rozměr 2550 x 1605 mm</v>
      </c>
      <c r="R30" s="329" t="str">
        <f>'Translate&amp;Prices&amp;Logo'!$B$144</f>
        <v>Lacobel RAL 0667 - maximální rozměr 2550 x 1605 mm</v>
      </c>
      <c r="U30" s="329" t="str">
        <f>'Translate&amp;Prices&amp;Logo'!$B$149</f>
        <v>Lacobel RAL 1603 - maximální rozměr 2550 x 1605 mm</v>
      </c>
      <c r="V30" s="329" t="str">
        <f>'Translate&amp;Prices&amp;Logo'!$B$149</f>
        <v>Lacobel RAL 1603 - maximální rozměr 2550 x 1605 mm</v>
      </c>
      <c r="AA30" t="s">
        <v>2030</v>
      </c>
      <c r="AB30" t="s">
        <v>2177</v>
      </c>
      <c r="AC30">
        <v>1</v>
      </c>
      <c r="AD30">
        <v>0</v>
      </c>
      <c r="AF30" s="296" t="s">
        <v>246</v>
      </c>
      <c r="AG30" s="296" t="s">
        <v>2036</v>
      </c>
    </row>
    <row r="31" spans="1:119">
      <c r="A31" s="329">
        <f>'Translate&amp;Prices&amp;Logo'!B34</f>
        <v>0</v>
      </c>
      <c r="B31">
        <v>1</v>
      </c>
      <c r="C31" t="s">
        <v>1215</v>
      </c>
      <c r="D31">
        <v>0</v>
      </c>
      <c r="Q31" s="329" t="str">
        <f>'Translate&amp;Prices&amp;Logo'!$B$132</f>
        <v>Lacobel RAL 5002 - maximální rozměr 2550 x 1605 mm</v>
      </c>
      <c r="R31" s="329" t="str">
        <f>'Translate&amp;Prices&amp;Logo'!$B$145</f>
        <v>Lacobel RAL 1164 - maximální rozměr 2550 x 1605 mm</v>
      </c>
      <c r="U31" s="329" t="str">
        <f>'Translate&amp;Prices&amp;Logo'!$B$150</f>
        <v>Lacobel RAL 1604 - maximální rozměr 2550 x 1605 mm</v>
      </c>
      <c r="V31" s="329" t="str">
        <f>'Translate&amp;Prices&amp;Logo'!$B$150</f>
        <v>Lacobel RAL 1604 - maximální rozměr 2550 x 1605 mm</v>
      </c>
      <c r="AA31" t="s">
        <v>2030</v>
      </c>
      <c r="AB31" t="s">
        <v>2032</v>
      </c>
      <c r="AC31">
        <v>1</v>
      </c>
      <c r="AD31">
        <v>0</v>
      </c>
      <c r="AF31" s="293" t="s">
        <v>245</v>
      </c>
      <c r="AG31" s="293" t="s">
        <v>2037</v>
      </c>
    </row>
    <row r="32" spans="1:119">
      <c r="A32" s="329" t="str">
        <f>'Translate&amp;Prices&amp;Logo'!B35</f>
        <v>Siena (elox.)</v>
      </c>
      <c r="B32">
        <v>2</v>
      </c>
      <c r="C32" t="s">
        <v>1215</v>
      </c>
      <c r="D32">
        <v>0</v>
      </c>
      <c r="Q32" s="329" t="str">
        <f>'Translate&amp;Prices&amp;Logo'!$B$133</f>
        <v>Lacobel RAL 7035 - maximální rozměr 2550 x 1605 mm</v>
      </c>
      <c r="R32" s="329">
        <f>'Translate&amp;Prices&amp;Logo'!$B$146</f>
        <v>0</v>
      </c>
      <c r="U32" s="329" t="str">
        <f>'Translate&amp;Prices&amp;Logo'!$B$151</f>
        <v>Matelac RAL 2001 - maximální rozměr 2550 x 1605 mm</v>
      </c>
      <c r="V32" s="329" t="str">
        <f>'Translate&amp;Prices&amp;Logo'!$B$151</f>
        <v>Matelac RAL 2001 - maximální rozměr 2550 x 1605 mm</v>
      </c>
      <c r="AA32" t="s">
        <v>2030</v>
      </c>
      <c r="AB32" t="s">
        <v>2176</v>
      </c>
      <c r="AC32">
        <v>1</v>
      </c>
      <c r="AD32">
        <v>0</v>
      </c>
      <c r="AF32" s="293" t="s">
        <v>246</v>
      </c>
      <c r="AG32" s="293" t="s">
        <v>2037</v>
      </c>
    </row>
    <row r="33" spans="1:33">
      <c r="A33" s="329" t="str">
        <f>'Translate&amp;Prices&amp;Logo'!$B$36</f>
        <v>Siena černá mat</v>
      </c>
      <c r="B33">
        <v>2</v>
      </c>
      <c r="C33" t="s">
        <v>1215</v>
      </c>
      <c r="D33">
        <v>0</v>
      </c>
      <c r="Q33" s="329" t="str">
        <f>'Translate&amp;Prices&amp;Logo'!$B$134</f>
        <v>Lacobel RAL 8017 - maximální rozměr 2550 x 1605 mm</v>
      </c>
      <c r="R33" s="329" t="str">
        <f>'Translate&amp;Prices&amp;Logo'!$B$147</f>
        <v>Lacobel RAL 1435 - maximální rozměr 2550 x 1605 mm</v>
      </c>
      <c r="U33" s="329" t="str">
        <f>'Translate&amp;Prices&amp;Logo'!$B$152</f>
        <v>Matelac RAL 3004 - maximální rozměr 2550 x 1605 mm</v>
      </c>
      <c r="V33" s="329" t="str">
        <f>'Translate&amp;Prices&amp;Logo'!$B$152</f>
        <v>Matelac RAL 3004 - maximální rozměr 2550 x 1605 mm</v>
      </c>
      <c r="AA33" t="s">
        <v>2030</v>
      </c>
      <c r="AB33" t="s">
        <v>2034</v>
      </c>
      <c r="AC33">
        <v>1</v>
      </c>
      <c r="AD33">
        <v>0</v>
      </c>
      <c r="AF33" s="296" t="s">
        <v>245</v>
      </c>
      <c r="AG33" s="296" t="s">
        <v>2040</v>
      </c>
    </row>
    <row r="34" spans="1:33">
      <c r="A34" s="329" t="str">
        <f>'Translate&amp;Prices&amp;Logo'!B37</f>
        <v>Verona (elox.)</v>
      </c>
      <c r="B34">
        <v>1</v>
      </c>
      <c r="C34" t="s">
        <v>1215</v>
      </c>
      <c r="D34">
        <v>0</v>
      </c>
      <c r="Q34" s="329" t="str">
        <f>'Translate&amp;Prices&amp;Logo'!$B$135</f>
        <v>Lacobel RAL 9003 - maximální rozměr 2550 x 1605 mm</v>
      </c>
      <c r="R34" s="329">
        <f>'Translate&amp;Prices&amp;Logo'!$B$148</f>
        <v>0</v>
      </c>
      <c r="U34" s="329" t="str">
        <f>'Translate&amp;Prices&amp;Logo'!$B$153</f>
        <v>Matelac RAL 7021 - maximální rozměr 2550 x 1605 mm</v>
      </c>
      <c r="V34" s="329" t="str">
        <f>'Translate&amp;Prices&amp;Logo'!$B$153</f>
        <v>Matelac RAL 7021 - maximální rozměr 2550 x 1605 mm</v>
      </c>
      <c r="AB34" t="s">
        <v>2035</v>
      </c>
      <c r="AC34">
        <v>1</v>
      </c>
      <c r="AD34">
        <v>0</v>
      </c>
      <c r="AF34" s="296" t="s">
        <v>246</v>
      </c>
      <c r="AG34" s="296" t="s">
        <v>2040</v>
      </c>
    </row>
    <row r="35" spans="1:33">
      <c r="A35" s="329" t="str">
        <f>'Translate&amp;Prices&amp;Logo'!B38</f>
        <v>Verona broušený hliník</v>
      </c>
      <c r="B35">
        <v>1</v>
      </c>
      <c r="C35" t="s">
        <v>1215</v>
      </c>
      <c r="D35">
        <v>0</v>
      </c>
      <c r="Q35" s="329" t="str">
        <f>'Translate&amp;Prices&amp;Logo'!$B$136</f>
        <v>Lacobel RAL 9005 - maximální rozměr 2550 x 1605 mm</v>
      </c>
      <c r="R35" s="329" t="str">
        <f>'Translate&amp;Prices&amp;Logo'!$B$149</f>
        <v>Lacobel RAL 1603 - maximální rozměr 2550 x 1605 mm</v>
      </c>
      <c r="U35" s="329" t="str">
        <f>'Translate&amp;Prices&amp;Logo'!$B$154</f>
        <v>Matelac RAL 9003 - maximální rozměr 2550 x 1605 mm</v>
      </c>
      <c r="V35" s="329" t="str">
        <f>'Translate&amp;Prices&amp;Logo'!$B$154</f>
        <v>Matelac RAL 9003 - maximální rozměr 2550 x 1605 mm</v>
      </c>
    </row>
    <row r="36" spans="1:33">
      <c r="A36" s="329" t="str">
        <f>'Translate&amp;Prices&amp;Logo'!B39</f>
        <v>Verona černá lesk</v>
      </c>
      <c r="B36">
        <v>1</v>
      </c>
      <c r="C36" t="s">
        <v>1215</v>
      </c>
      <c r="D36">
        <v>0</v>
      </c>
      <c r="Q36" s="329" t="str">
        <f>'Translate&amp;Prices&amp;Logo'!$B$137</f>
        <v>Lacobel RAL 9006 - maximální rozměr 2550 x 1605 mm</v>
      </c>
      <c r="R36" s="329" t="str">
        <f>'Translate&amp;Prices&amp;Logo'!$B$150</f>
        <v>Lacobel RAL 1604 - maximální rozměr 2550 x 1605 mm</v>
      </c>
      <c r="U36" s="329" t="str">
        <f>'Translate&amp;Prices&amp;Logo'!$B$155</f>
        <v>Matelac RAL 9005 - maximální rozměr 2550 x 1605 mm</v>
      </c>
      <c r="V36" s="329" t="str">
        <f>'Translate&amp;Prices&amp;Logo'!$B$155</f>
        <v>Matelac RAL 9005 - maximální rozměr 2550 x 1605 mm</v>
      </c>
    </row>
    <row r="37" spans="1:33">
      <c r="A37" s="329" t="str">
        <f>'Translate&amp;Prices&amp;Logo'!B40</f>
        <v>Verona černá mat</v>
      </c>
      <c r="B37">
        <v>1</v>
      </c>
      <c r="C37" t="s">
        <v>1215</v>
      </c>
      <c r="D37">
        <v>0</v>
      </c>
      <c r="Q37" s="329" t="str">
        <f>'Translate&amp;Prices&amp;Logo'!$B$138</f>
        <v>Lacobel RAL 9007 - maximální rozměr 2550 x 1605 mm</v>
      </c>
      <c r="R37" s="329" t="str">
        <f>'Translate&amp;Prices&amp;Logo'!$B$151</f>
        <v>Matelac RAL 2001 - maximální rozměr 2550 x 1605 mm</v>
      </c>
      <c r="U37" s="329" t="str">
        <f>'Translate&amp;Prices&amp;Logo'!$B$156</f>
        <v>Matelac RAL 9006 - maximální rozměr 2550 x 1605 mm</v>
      </c>
      <c r="V37" s="329" t="str">
        <f>'Translate&amp;Prices&amp;Logo'!$B$156</f>
        <v>Matelac RAL 9006 - maximální rozměr 2550 x 1605 mm</v>
      </c>
    </row>
    <row r="38" spans="1:33">
      <c r="A38" s="329" t="str">
        <f>'Translate&amp;Prices&amp;Logo'!B41</f>
        <v>Verona hnědá</v>
      </c>
      <c r="B38">
        <v>1</v>
      </c>
      <c r="C38" t="s">
        <v>1215</v>
      </c>
      <c r="D38">
        <v>0</v>
      </c>
      <c r="Q38" s="329" t="str">
        <f>'Translate&amp;Prices&amp;Logo'!$B$139</f>
        <v>Lacobel RAL 9010 - maximální rozměr 2550 x 1605 mm</v>
      </c>
      <c r="R38" s="329" t="str">
        <f>'Translate&amp;Prices&amp;Logo'!$B$152</f>
        <v>Matelac RAL 3004 - maximální rozměr 2550 x 1605 mm</v>
      </c>
      <c r="U38" s="329" t="str">
        <f>'Translate&amp;Prices&amp;Logo'!$B$157</f>
        <v>Matelac RAL 9010 - maximální rozměr 2550 x 1605 mm</v>
      </c>
      <c r="V38" s="329" t="str">
        <f>'Translate&amp;Prices&amp;Logo'!$B$157</f>
        <v>Matelac RAL 9010 - maximální rozměr 2550 x 1605 mm</v>
      </c>
    </row>
    <row r="39" spans="1:33">
      <c r="A39" s="329" t="str">
        <f>'Translate&amp;Prices&amp;Logo'!B42</f>
        <v>Verona champagne</v>
      </c>
      <c r="B39">
        <v>1</v>
      </c>
      <c r="C39" t="s">
        <v>1215</v>
      </c>
      <c r="D39">
        <v>0</v>
      </c>
      <c r="Q39" s="329" t="str">
        <f>'Translate&amp;Prices&amp;Logo'!$B$140</f>
        <v>Lacobel RAL 0128 - maximální rozměr 2550 x 1605 mm</v>
      </c>
      <c r="R39" s="329" t="str">
        <f>'Translate&amp;Prices&amp;Logo'!$B$153</f>
        <v>Matelac RAL 7021 - maximální rozměr 2550 x 1605 mm</v>
      </c>
      <c r="U39" s="329" t="str">
        <f>'Translate&amp;Prices&amp;Logo'!$B$158</f>
        <v>Matelac RAL 1435 - maximální rozměr 2550 x 1605 mm</v>
      </c>
      <c r="V39" s="329" t="str">
        <f>'Translate&amp;Prices&amp;Logo'!$B$158</f>
        <v>Matelac RAL 1435 - maximální rozměr 2550 x 1605 mm</v>
      </c>
      <c r="AA39" t="s">
        <v>1014</v>
      </c>
      <c r="AB39" t="s">
        <v>2066</v>
      </c>
    </row>
    <row r="40" spans="1:33">
      <c r="A40" s="329" t="str">
        <f>'Translate&amp;Prices&amp;Logo'!B43</f>
        <v>Verona tmavá nerez broušená</v>
      </c>
      <c r="B40">
        <v>1</v>
      </c>
      <c r="C40" t="s">
        <v>1215</v>
      </c>
      <c r="D40">
        <v>0</v>
      </c>
      <c r="Q40" s="329" t="str">
        <f>'Translate&amp;Prices&amp;Logo'!$B$141</f>
        <v>Lacobel RAL 0327 - maximální rozměr 2550 x 1605 mm</v>
      </c>
      <c r="R40" s="329" t="str">
        <f>'Translate&amp;Prices&amp;Logo'!$B$154</f>
        <v>Matelac RAL 9003 - maximální rozměr 2550 x 1605 mm</v>
      </c>
      <c r="U40" s="329" t="str">
        <f>'Translate&amp;Prices&amp;Logo'!$B$159</f>
        <v>Matelac RAL 1586 - maximální rozměr 2550 x 1605 mm</v>
      </c>
      <c r="V40" s="329" t="str">
        <f>'Translate&amp;Prices&amp;Logo'!$B$159</f>
        <v>Matelac RAL 1586 - maximální rozměr 2550 x 1605 mm</v>
      </c>
      <c r="AA40" t="s">
        <v>1014</v>
      </c>
      <c r="AB40" t="s">
        <v>2178</v>
      </c>
      <c r="AC40">
        <v>1</v>
      </c>
      <c r="AD40">
        <v>0</v>
      </c>
    </row>
    <row r="41" spans="1:33">
      <c r="A41" s="329" t="str">
        <f>'Translate&amp;Prices&amp;Logo'!B44</f>
        <v>Verona světlá nerez (Acier grata)</v>
      </c>
      <c r="B41">
        <v>1</v>
      </c>
      <c r="C41" t="s">
        <v>1215</v>
      </c>
      <c r="D41">
        <v>0</v>
      </c>
      <c r="Q41" s="329">
        <f>'Translate&amp;Prices&amp;Logo'!$B$142</f>
        <v>0</v>
      </c>
      <c r="R41" s="329" t="str">
        <f>'Translate&amp;Prices&amp;Logo'!$B$155</f>
        <v>Matelac RAL 9005 - maximální rozměr 2550 x 1605 mm</v>
      </c>
      <c r="U41" s="329" t="str">
        <f>'Translate&amp;Prices&amp;Logo'!$B$160</f>
        <v>Matelac zrcadlo bronz - maximální rozměr 2550 x 1605 mm</v>
      </c>
      <c r="V41" s="329" t="str">
        <f>'Translate&amp;Prices&amp;Logo'!$B$160</f>
        <v>Matelac zrcadlo bronz - maximální rozměr 2550 x 1605 mm</v>
      </c>
      <c r="AB41" t="s">
        <v>2179</v>
      </c>
      <c r="AC41">
        <v>1</v>
      </c>
      <c r="AD41">
        <v>0</v>
      </c>
    </row>
    <row r="42" spans="1:33">
      <c r="A42" s="329" t="str">
        <f>'Translate&amp;Prices&amp;Logo'!B47</f>
        <v>Vivaro (elox.)</v>
      </c>
      <c r="B42">
        <v>2</v>
      </c>
      <c r="C42" t="s">
        <v>1215</v>
      </c>
      <c r="D42">
        <v>1</v>
      </c>
      <c r="Q42" s="329">
        <f>'Translate&amp;Prices&amp;Logo'!$B$143</f>
        <v>0</v>
      </c>
      <c r="R42" s="329" t="str">
        <f>'Translate&amp;Prices&amp;Logo'!$B$156</f>
        <v>Matelac RAL 9006 - maximální rozměr 2550 x 1605 mm</v>
      </c>
      <c r="U42" s="329" t="str">
        <f>'Translate&amp;Prices&amp;Logo'!$B$162</f>
        <v>Matelac zrcadlo grafit - maximální rozměr 2550 x 1605 mm</v>
      </c>
      <c r="V42" s="329" t="str">
        <f>'Translate&amp;Prices&amp;Logo'!$B$162</f>
        <v>Matelac zrcadlo grafit - maximální rozměr 2550 x 1605 mm</v>
      </c>
      <c r="AA42" t="s">
        <v>2038</v>
      </c>
      <c r="AB42" t="s">
        <v>2067</v>
      </c>
    </row>
    <row r="43" spans="1:33">
      <c r="A43" s="329" t="str">
        <f>'Translate&amp;Prices&amp;Logo'!B48</f>
        <v>Vivaro černá mat</v>
      </c>
      <c r="B43">
        <v>2</v>
      </c>
      <c r="C43" t="s">
        <v>1215</v>
      </c>
      <c r="D43">
        <v>1</v>
      </c>
      <c r="Q43" s="329" t="str">
        <f>'Translate&amp;Prices&amp;Logo'!$B$144</f>
        <v>Lacobel RAL 0667 - maximální rozměr 2550 x 1605 mm</v>
      </c>
      <c r="R43" s="329" t="str">
        <f>'Translate&amp;Prices&amp;Logo'!$B$157</f>
        <v>Matelac RAL 9010 - maximální rozměr 2550 x 1605 mm</v>
      </c>
      <c r="U43" s="329" t="str">
        <f>'Translate&amp;Prices&amp;Logo'!$B$163</f>
        <v>Matelac zrcadlo stříbr. - maximální rozměr 2550 x 1605 mm</v>
      </c>
      <c r="V43" s="329" t="str">
        <f>'Translate&amp;Prices&amp;Logo'!$B$163</f>
        <v>Matelac zrcadlo stříbr. - maximální rozměr 2550 x 1605 mm</v>
      </c>
      <c r="AA43" t="s">
        <v>2038</v>
      </c>
      <c r="AB43" t="s">
        <v>2188</v>
      </c>
      <c r="AC43">
        <v>0</v>
      </c>
      <c r="AD43">
        <v>0</v>
      </c>
    </row>
    <row r="44" spans="1:33">
      <c r="A44" s="329" t="str">
        <f>'Translate&amp;Prices&amp;Logo'!B49</f>
        <v>Imola zlatá</v>
      </c>
      <c r="B44">
        <v>2</v>
      </c>
      <c r="C44" t="s">
        <v>1215</v>
      </c>
      <c r="D44">
        <v>0</v>
      </c>
      <c r="Q44" s="329" t="str">
        <f>'Translate&amp;Prices&amp;Logo'!$B$145</f>
        <v>Lacobel RAL 1164 - maximální rozměr 2550 x 1605 mm</v>
      </c>
      <c r="R44" s="329" t="str">
        <f>'Translate&amp;Prices&amp;Logo'!$B$158</f>
        <v>Matelac RAL 1435 - maximální rozměr 2550 x 1605 mm</v>
      </c>
      <c r="AA44" t="s">
        <v>2038</v>
      </c>
      <c r="AB44" t="s">
        <v>2040</v>
      </c>
      <c r="AC44">
        <v>1</v>
      </c>
      <c r="AD44">
        <v>0</v>
      </c>
    </row>
    <row r="45" spans="1:33">
      <c r="A45" s="329" t="str">
        <f>'Translate&amp;Prices&amp;Logo'!B50</f>
        <v>Vivaro tmavá nerez br. (inox lija)</v>
      </c>
      <c r="B45">
        <v>2</v>
      </c>
      <c r="C45" t="s">
        <v>1215</v>
      </c>
      <c r="D45">
        <v>0</v>
      </c>
      <c r="Q45" s="329">
        <f>'Translate&amp;Prices&amp;Logo'!$B$146</f>
        <v>0</v>
      </c>
      <c r="R45" s="329" t="str">
        <f>'Translate&amp;Prices&amp;Logo'!$B$159</f>
        <v>Matelac RAL 1586 - maximální rozměr 2550 x 1605 mm</v>
      </c>
      <c r="AB45" t="s">
        <v>2189</v>
      </c>
      <c r="AC45">
        <v>0</v>
      </c>
      <c r="AD45">
        <v>0</v>
      </c>
    </row>
    <row r="46" spans="1:33">
      <c r="A46" s="329" t="str">
        <f>'Translate&amp;Prices&amp;Logo'!B51</f>
        <v>Vivaro bílá mat</v>
      </c>
      <c r="B46">
        <v>2</v>
      </c>
      <c r="C46" t="s">
        <v>1215</v>
      </c>
      <c r="D46">
        <v>0</v>
      </c>
      <c r="Q46" s="329" t="str">
        <f>'Translate&amp;Prices&amp;Logo'!$B$147</f>
        <v>Lacobel RAL 1435 - maximální rozměr 2550 x 1605 mm</v>
      </c>
      <c r="R46" s="329" t="str">
        <f>'Translate&amp;Prices&amp;Logo'!$B$160</f>
        <v>Matelac zrcadlo bronz - maximální rozměr 2550 x 1605 mm</v>
      </c>
    </row>
    <row r="47" spans="1:33">
      <c r="A47" s="329" t="str">
        <f>'Translate&amp;Prices&amp;Logo'!B52</f>
        <v>Vivaro bílá lesk</v>
      </c>
      <c r="B47">
        <v>2</v>
      </c>
      <c r="C47" t="s">
        <v>1215</v>
      </c>
      <c r="D47">
        <v>0</v>
      </c>
      <c r="Q47" s="329">
        <f>'Translate&amp;Prices&amp;Logo'!$B$148</f>
        <v>0</v>
      </c>
      <c r="R47" s="329" t="str">
        <f>'Translate&amp;Prices&amp;Logo'!$B$162</f>
        <v>Matelac zrcadlo grafit - maximální rozměr 2550 x 1605 mm</v>
      </c>
    </row>
    <row r="48" spans="1:33">
      <c r="A48" s="329" t="str">
        <f>'Translate&amp;Prices&amp;Logo'!B77</f>
        <v>Varna elox (Vlevo a Vpravo) + Siena elox (Nahoře a dole)</v>
      </c>
      <c r="B48">
        <v>1</v>
      </c>
      <c r="C48" t="s">
        <v>2054</v>
      </c>
      <c r="D48">
        <v>0</v>
      </c>
      <c r="Q48" s="329" t="str">
        <f>'Translate&amp;Prices&amp;Logo'!$B$149</f>
        <v>Lacobel RAL 1603 - maximální rozměr 2550 x 1605 mm</v>
      </c>
      <c r="R48" s="329" t="str">
        <f>'Translate&amp;Prices&amp;Logo'!$B$163</f>
        <v>Matelac zrcadlo stříbr. - maximální rozměr 2550 x 1605 mm</v>
      </c>
    </row>
    <row r="49" spans="1:17">
      <c r="A49" s="329" t="str">
        <f>'Translate&amp;Prices&amp;Logo'!B78</f>
        <v>Siena elox (Vlevo a vpravo) + Varna elox (Nahoře a dole)</v>
      </c>
      <c r="B49">
        <v>2</v>
      </c>
      <c r="C49" t="s">
        <v>2054</v>
      </c>
      <c r="D49">
        <v>0</v>
      </c>
      <c r="Q49" s="329" t="str">
        <f>'Translate&amp;Prices&amp;Logo'!$B$150</f>
        <v>Lacobel RAL 1604 - maximální rozměr 2550 x 1605 mm</v>
      </c>
    </row>
    <row r="50" spans="1:17">
      <c r="A50" s="329" t="str">
        <f>'Translate&amp;Prices&amp;Logo'!B81</f>
        <v>Varna elox (Vlevo a Vpravo) + Palio elox (Nahoře a dole)</v>
      </c>
      <c r="B50">
        <v>1</v>
      </c>
      <c r="C50" t="s">
        <v>2054</v>
      </c>
      <c r="D50">
        <v>0</v>
      </c>
      <c r="Q50" s="329" t="str">
        <f>'Translate&amp;Prices&amp;Logo'!$B$151</f>
        <v>Matelac RAL 2001 - maximální rozměr 2550 x 1605 mm</v>
      </c>
    </row>
    <row r="51" spans="1:17">
      <c r="A51" s="329" t="str">
        <f>'Translate&amp;Prices&amp;Logo'!B82</f>
        <v>Palio elox (Vlevo a vpravo) + Varna elox (Nahoře a dole)</v>
      </c>
      <c r="B51">
        <v>2</v>
      </c>
      <c r="C51" t="s">
        <v>2054</v>
      </c>
      <c r="D51">
        <v>0</v>
      </c>
      <c r="Q51" s="329" t="str">
        <f>'Translate&amp;Prices&amp;Logo'!$B$152</f>
        <v>Matelac RAL 3004 - maximální rozměr 2550 x 1605 mm</v>
      </c>
    </row>
    <row r="52" spans="1:17">
      <c r="A52" s="329" t="str">
        <f>'Translate&amp;Prices&amp;Logo'!B83</f>
        <v>Varna elox (Vlevo a Vpravo) + Rocca elox (Nahoře a dole)</v>
      </c>
      <c r="B52">
        <v>1</v>
      </c>
      <c r="C52" t="s">
        <v>2054</v>
      </c>
      <c r="D52">
        <v>0</v>
      </c>
      <c r="Q52" s="329" t="str">
        <f>'Translate&amp;Prices&amp;Logo'!$B$153</f>
        <v>Matelac RAL 7021 - maximální rozměr 2550 x 1605 mm</v>
      </c>
    </row>
    <row r="53" spans="1:17">
      <c r="A53" s="329" t="str">
        <f>'Translate&amp;Prices&amp;Logo'!B84</f>
        <v>Rocca elox (Vlevo a vpravo) + Varna elox (Nahoře a dole)</v>
      </c>
      <c r="B53">
        <v>2</v>
      </c>
      <c r="C53" t="s">
        <v>2054</v>
      </c>
      <c r="D53">
        <v>0</v>
      </c>
      <c r="Q53" s="329" t="str">
        <f>'Translate&amp;Prices&amp;Logo'!$B$154</f>
        <v>Matelac RAL 9003 - maximální rozměr 2550 x 1605 mm</v>
      </c>
    </row>
    <row r="54" spans="1:17">
      <c r="Q54" s="329" t="str">
        <f>'Translate&amp;Prices&amp;Logo'!$B$155</f>
        <v>Matelac RAL 9005 - maximální rozměr 2550 x 1605 mm</v>
      </c>
    </row>
    <row r="55" spans="1:17">
      <c r="Q55" s="329" t="str">
        <f>'Translate&amp;Prices&amp;Logo'!$B$156</f>
        <v>Matelac RAL 9006 - maximální rozměr 2550 x 1605 mm</v>
      </c>
    </row>
    <row r="56" spans="1:17">
      <c r="Q56" s="329" t="str">
        <f>'Translate&amp;Prices&amp;Logo'!$B$157</f>
        <v>Matelac RAL 9010 - maximální rozměr 2550 x 1605 mm</v>
      </c>
    </row>
    <row r="57" spans="1:17">
      <c r="Q57" s="329" t="str">
        <f>'Translate&amp;Prices&amp;Logo'!$B$158</f>
        <v>Matelac RAL 1435 - maximální rozměr 2550 x 1605 mm</v>
      </c>
    </row>
    <row r="58" spans="1:17">
      <c r="Q58" s="329" t="str">
        <f>'Translate&amp;Prices&amp;Logo'!$B$159</f>
        <v>Matelac RAL 1586 - maximální rozměr 2550 x 1605 mm</v>
      </c>
    </row>
    <row r="59" spans="1:17">
      <c r="Q59" s="329" t="str">
        <f>'Translate&amp;Prices&amp;Logo'!$B$160</f>
        <v>Matelac zrcadlo bronz - maximální rozměr 2550 x 1605 mm</v>
      </c>
    </row>
    <row r="60" spans="1:17">
      <c r="Q60" s="329" t="str">
        <f>'Translate&amp;Prices&amp;Logo'!$B$162</f>
        <v>Matelac zrcadlo grafit - maximální rozměr 2550 x 1605 mm</v>
      </c>
    </row>
    <row r="61" spans="1:17">
      <c r="Q61" s="329" t="str">
        <f>'Translate&amp;Prices&amp;Logo'!$B$163</f>
        <v>Matelac zrcadlo stříbr. - maximální rozměr 2550 x 1605 mm</v>
      </c>
    </row>
  </sheetData>
  <mergeCells count="1">
    <mergeCell ref="G23:I29"/>
  </mergeCells>
  <conditionalFormatting sqref="P2:P61 P63:P65536">
    <cfRule type="expression" dxfId="108" priority="35" stopIfTrue="1">
      <formula>AND(COUNTIF($P$63:$P$65536, P2)+COUNTIF($P$2:$P$61, P2)&gt;1,NOT(ISBLANK(P2)))</formula>
    </cfRule>
  </conditionalFormatting>
  <conditionalFormatting sqref="Q2 Q4:Q61 Q63:Q65536">
    <cfRule type="expression" dxfId="107" priority="33" stopIfTrue="1">
      <formula>AND(COUNTIF($Q$2:$Q$2, Q2)+COUNTIF($Q$63:$Q$65536, Q2)+COUNTIF($Q$4:$Q$61, Q2)&gt;1,NOT(ISBLANK(Q2)))</formula>
    </cfRule>
  </conditionalFormatting>
  <conditionalFormatting sqref="R4">
    <cfRule type="duplicateValues" dxfId="106" priority="23"/>
  </conditionalFormatting>
  <conditionalFormatting sqref="R5">
    <cfRule type="duplicateValues" dxfId="105" priority="22"/>
  </conditionalFormatting>
  <conditionalFormatting sqref="R6:R8">
    <cfRule type="duplicateValues" dxfId="104" priority="21"/>
  </conditionalFormatting>
  <conditionalFormatting sqref="R9:R10">
    <cfRule type="duplicateValues" dxfId="103" priority="20"/>
  </conditionalFormatting>
  <conditionalFormatting sqref="R11">
    <cfRule type="duplicateValues" dxfId="102" priority="19"/>
  </conditionalFormatting>
  <conditionalFormatting sqref="R12:R36">
    <cfRule type="duplicateValues" dxfId="101" priority="18"/>
  </conditionalFormatting>
  <conditionalFormatting sqref="R37:R45">
    <cfRule type="duplicateValues" dxfId="100" priority="17"/>
  </conditionalFormatting>
  <conditionalFormatting sqref="R46:R48">
    <cfRule type="duplicateValues" dxfId="99" priority="16"/>
  </conditionalFormatting>
  <conditionalFormatting sqref="R49:R55">
    <cfRule type="duplicateValues" dxfId="98" priority="24"/>
  </conditionalFormatting>
  <conditionalFormatting sqref="R49:R61 R2 R63:R65536">
    <cfRule type="expression" dxfId="97" priority="34" stopIfTrue="1">
      <formula>AND(COUNTIF($R$2:$R$2, R2)+COUNTIF($R$63:$R$65536, R2)+COUNTIF($R$49:$R$61, R2)&gt;1,NOT(ISBLANK(R2)))</formula>
    </cfRule>
  </conditionalFormatting>
  <conditionalFormatting sqref="R56:R57">
    <cfRule type="duplicateValues" dxfId="96" priority="25"/>
  </conditionalFormatting>
  <conditionalFormatting sqref="R58:R61 R63">
    <cfRule type="expression" dxfId="95" priority="36" stopIfTrue="1">
      <formula>AND(COUNTIF($R$63:$R$63, R58)+COUNTIF($R$58:$R$61, R58)&gt;1,NOT(ISBLANK(R58)))</formula>
    </cfRule>
  </conditionalFormatting>
  <conditionalFormatting sqref="S4">
    <cfRule type="duplicateValues" dxfId="94" priority="15"/>
  </conditionalFormatting>
  <conditionalFormatting sqref="S5:S10">
    <cfRule type="duplicateValues" dxfId="93" priority="14"/>
  </conditionalFormatting>
  <conditionalFormatting sqref="S11:S12">
    <cfRule type="duplicateValues" dxfId="92" priority="13"/>
  </conditionalFormatting>
  <conditionalFormatting sqref="S13:S19">
    <cfRule type="duplicateValues" dxfId="91" priority="12"/>
  </conditionalFormatting>
  <conditionalFormatting sqref="S20:S48">
    <cfRule type="duplicateValues" dxfId="90" priority="26"/>
  </conditionalFormatting>
  <conditionalFormatting sqref="T4">
    <cfRule type="duplicateValues" dxfId="89" priority="11"/>
  </conditionalFormatting>
  <conditionalFormatting sqref="T5:T6">
    <cfRule type="duplicateValues" dxfId="88" priority="10"/>
  </conditionalFormatting>
  <conditionalFormatting sqref="T7">
    <cfRule type="duplicateValues" dxfId="87" priority="9"/>
  </conditionalFormatting>
  <conditionalFormatting sqref="U4:U6">
    <cfRule type="duplicateValues" dxfId="86" priority="8"/>
  </conditionalFormatting>
  <conditionalFormatting sqref="U7:U31">
    <cfRule type="duplicateValues" dxfId="85" priority="7"/>
  </conditionalFormatting>
  <conditionalFormatting sqref="U32:U40">
    <cfRule type="duplicateValues" dxfId="84" priority="6"/>
  </conditionalFormatting>
  <conditionalFormatting sqref="U41:U43">
    <cfRule type="duplicateValues" dxfId="83" priority="5"/>
  </conditionalFormatting>
  <conditionalFormatting sqref="V4:V6">
    <cfRule type="duplicateValues" dxfId="82" priority="4"/>
  </conditionalFormatting>
  <conditionalFormatting sqref="V7:V31">
    <cfRule type="duplicateValues" dxfId="81" priority="3"/>
  </conditionalFormatting>
  <conditionalFormatting sqref="V32:V40">
    <cfRule type="duplicateValues" dxfId="80" priority="2"/>
  </conditionalFormatting>
  <conditionalFormatting sqref="V41:V43">
    <cfRule type="duplicateValues" dxfId="79" priority="1"/>
  </conditionalFormatting>
  <conditionalFormatting sqref="AC4:AC9 AC15:AC23 AC29:AC34 AC40:AC41 AC43:AC45">
    <cfRule type="cellIs" dxfId="78" priority="27" operator="equal">
      <formula>1</formula>
    </cfRule>
  </conditionalFormatting>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B174"/>
  <sheetViews>
    <sheetView showGridLines="0" topLeftCell="A125" workbookViewId="0">
      <selection activeCell="AL2" sqref="AL2:AP3"/>
    </sheetView>
  </sheetViews>
  <sheetFormatPr defaultColWidth="0" defaultRowHeight="14.85" customHeight="1"/>
  <cols>
    <col min="1" max="30" width="4.42578125" style="1" customWidth="1"/>
    <col min="31" max="31" width="4.42578125" style="212" customWidth="1"/>
    <col min="32" max="32" width="4.42578125" style="160" customWidth="1"/>
    <col min="33" max="42" width="4.42578125" style="1" customWidth="1"/>
    <col min="43" max="52" width="8.5703125" style="1" hidden="1" customWidth="1"/>
    <col min="53" max="54" width="8.5703125" style="211" hidden="1" customWidth="1"/>
    <col min="55" max="61" width="8.5703125" style="1" hidden="1" customWidth="1"/>
    <col min="62" max="16384" width="8.5703125" style="1" hidden="1"/>
  </cols>
  <sheetData>
    <row r="1" spans="1:42" ht="15">
      <c r="A1" s="324"/>
      <c r="B1" s="324"/>
      <c r="C1" s="324"/>
      <c r="D1" s="324"/>
      <c r="E1" s="324"/>
      <c r="F1" s="324"/>
      <c r="G1" s="324"/>
      <c r="H1" s="324"/>
      <c r="I1" s="324"/>
      <c r="J1" s="324"/>
      <c r="K1" s="324"/>
      <c r="L1" s="324"/>
      <c r="M1" s="324"/>
      <c r="N1" s="324"/>
      <c r="O1" s="324"/>
      <c r="P1" s="324"/>
      <c r="Q1" s="324"/>
      <c r="R1" s="324"/>
      <c r="S1" s="324"/>
      <c r="T1" s="324"/>
      <c r="U1" s="324"/>
      <c r="V1" s="324"/>
      <c r="AM1" s="798">
        <f ca="1">TODAY()</f>
        <v>45602</v>
      </c>
      <c r="AN1" s="799"/>
      <c r="AO1" s="799"/>
      <c r="AP1" s="799"/>
    </row>
    <row r="2" spans="1:42" ht="14.85" customHeight="1">
      <c r="A2" s="325"/>
      <c r="B2" s="325"/>
      <c r="C2" s="325"/>
      <c r="D2" s="325"/>
      <c r="E2" s="325"/>
      <c r="F2" s="325"/>
      <c r="G2" s="325"/>
      <c r="H2" s="325"/>
      <c r="I2" s="325"/>
      <c r="J2" s="325"/>
      <c r="K2" s="325"/>
      <c r="L2" s="325"/>
      <c r="M2" s="325"/>
      <c r="N2" s="325"/>
      <c r="O2" s="325"/>
      <c r="P2" s="325"/>
      <c r="Q2" s="325"/>
      <c r="R2" s="325"/>
      <c r="S2" s="325"/>
      <c r="T2" s="270"/>
      <c r="U2" s="270"/>
      <c r="V2" s="270"/>
      <c r="W2" s="270"/>
      <c r="X2" s="270"/>
      <c r="Y2" s="270"/>
      <c r="Z2" s="270"/>
      <c r="AA2" s="270"/>
      <c r="AB2" s="270"/>
      <c r="AC2" s="270"/>
      <c r="AD2" s="270"/>
      <c r="AE2" s="271"/>
      <c r="AF2" s="272"/>
      <c r="AG2" s="270"/>
      <c r="AH2" s="270"/>
      <c r="AI2" s="270"/>
      <c r="AJ2" s="270"/>
      <c r="AK2" s="270"/>
      <c r="AL2" s="579" t="str">
        <f>'Translate&amp;Prices&amp;Logo'!$B$540</f>
        <v>Úvod</v>
      </c>
      <c r="AM2" s="580"/>
      <c r="AN2" s="580"/>
      <c r="AO2" s="580"/>
      <c r="AP2" s="580"/>
    </row>
    <row r="3" spans="1:42" ht="14.85" customHeight="1">
      <c r="A3" s="325"/>
      <c r="B3" s="325"/>
      <c r="C3" s="325"/>
      <c r="D3" s="325"/>
      <c r="E3" s="325"/>
      <c r="F3" s="325"/>
      <c r="G3" s="325"/>
      <c r="H3" s="325"/>
      <c r="I3" s="325"/>
      <c r="J3" s="325"/>
      <c r="K3" s="325"/>
      <c r="L3" s="325"/>
      <c r="M3" s="325"/>
      <c r="N3" s="325"/>
      <c r="O3" s="325"/>
      <c r="P3" s="325"/>
      <c r="Q3" s="325"/>
      <c r="R3" s="325"/>
      <c r="S3" s="325"/>
      <c r="T3" s="270"/>
      <c r="U3" s="270"/>
      <c r="V3" s="270"/>
      <c r="W3" s="270"/>
      <c r="X3" s="270"/>
      <c r="Y3" s="270"/>
      <c r="Z3" s="270"/>
      <c r="AA3" s="270"/>
      <c r="AB3" s="270"/>
      <c r="AC3" s="270"/>
      <c r="AD3" s="270"/>
      <c r="AE3" s="271"/>
      <c r="AF3" s="272"/>
      <c r="AG3" s="270"/>
      <c r="AH3" s="270"/>
      <c r="AI3" s="270"/>
      <c r="AJ3" s="270"/>
      <c r="AK3" s="270"/>
      <c r="AL3" s="579"/>
      <c r="AM3" s="580"/>
      <c r="AN3" s="580"/>
      <c r="AO3" s="580"/>
      <c r="AP3" s="580"/>
    </row>
    <row r="5" spans="1:42" ht="14.85" customHeight="1">
      <c r="L5" s="797" t="str">
        <f>'Translate&amp;Prices&amp;Logo'!$B$256</f>
        <v>Číslo objednávky</v>
      </c>
      <c r="M5" s="797"/>
      <c r="N5" s="797"/>
      <c r="O5" s="797"/>
      <c r="P5" s="322"/>
      <c r="Q5" s="795">
        <f>Zakaznik!$K$11</f>
        <v>0</v>
      </c>
      <c r="R5" s="795"/>
      <c r="S5" s="795"/>
      <c r="T5" s="795"/>
      <c r="U5" s="795"/>
      <c r="V5" s="795"/>
      <c r="W5" s="795"/>
      <c r="Y5" s="797" t="str">
        <f>'Translate&amp;Prices&amp;Logo'!$B$250</f>
        <v>Kontaktní tel.</v>
      </c>
      <c r="Z5" s="797"/>
      <c r="AA5" s="797"/>
      <c r="AB5" s="797"/>
      <c r="AC5" s="322"/>
      <c r="AD5" s="795">
        <f>Zakaznik!$K$17</f>
        <v>0</v>
      </c>
      <c r="AE5" s="795"/>
      <c r="AF5" s="795"/>
      <c r="AG5" s="795"/>
      <c r="AH5" s="795"/>
      <c r="AI5" s="795"/>
      <c r="AJ5" s="795"/>
      <c r="AL5" s="797" t="str">
        <f>Zakaznik!$E$23</f>
        <v>Sleva na rámečky</v>
      </c>
      <c r="AM5" s="797"/>
      <c r="AN5" s="797"/>
      <c r="AO5" s="797"/>
    </row>
    <row r="6" spans="1:42" ht="14.85" customHeight="1">
      <c r="L6" s="791" t="str">
        <f>'Translate&amp;Prices&amp;Logo'!$B$249</f>
        <v>Zákazník</v>
      </c>
      <c r="M6" s="791"/>
      <c r="N6" s="791"/>
      <c r="O6" s="791"/>
      <c r="P6" s="366"/>
      <c r="Q6" s="795">
        <f>Zakaznik!$K$13</f>
        <v>0</v>
      </c>
      <c r="R6" s="795"/>
      <c r="S6" s="795"/>
      <c r="T6" s="795"/>
      <c r="U6" s="795"/>
      <c r="V6" s="795"/>
      <c r="W6" s="795"/>
      <c r="Y6" s="791" t="str">
        <f>'Translate&amp;Prices&amp;Logo'!$B$251</f>
        <v>Kontaktní e-mail</v>
      </c>
      <c r="Z6" s="791"/>
      <c r="AA6" s="791"/>
      <c r="AB6" s="791"/>
      <c r="AC6" s="366"/>
      <c r="AD6" s="795">
        <f>Zakaznik!$K$19</f>
        <v>0</v>
      </c>
      <c r="AE6" s="795"/>
      <c r="AF6" s="795"/>
      <c r="AG6" s="795"/>
      <c r="AH6" s="795"/>
      <c r="AI6" s="795"/>
      <c r="AJ6" s="795"/>
      <c r="AL6" s="792">
        <f>Zakaznik!$K$23</f>
        <v>0</v>
      </c>
      <c r="AM6" s="793"/>
      <c r="AN6" s="793"/>
      <c r="AO6" s="793"/>
    </row>
    <row r="7" spans="1:42" ht="14.85" customHeight="1">
      <c r="L7" s="791" t="str">
        <f>'Translate&amp;Prices&amp;Logo'!$B$253</f>
        <v>IČ:</v>
      </c>
      <c r="M7" s="791"/>
      <c r="N7" s="791"/>
      <c r="O7" s="791"/>
      <c r="P7" s="366"/>
      <c r="Q7" s="795">
        <f>Zakaznik!$K$15</f>
        <v>0</v>
      </c>
      <c r="R7" s="795"/>
      <c r="S7" s="795"/>
      <c r="T7" s="795"/>
      <c r="U7" s="795"/>
      <c r="V7" s="795"/>
      <c r="W7" s="795"/>
      <c r="Y7" s="791" t="str">
        <f>'Translate&amp;Prices&amp;Logo'!$B$252</f>
        <v>Adresa provozovny</v>
      </c>
      <c r="Z7" s="791"/>
      <c r="AA7" s="791"/>
      <c r="AB7" s="791"/>
      <c r="AC7" s="366"/>
      <c r="AD7" s="795">
        <f>Zakaznik!$K$21</f>
        <v>0</v>
      </c>
      <c r="AE7" s="795"/>
      <c r="AF7" s="795"/>
      <c r="AG7" s="795"/>
      <c r="AH7" s="795"/>
      <c r="AI7" s="795"/>
      <c r="AJ7" s="795"/>
      <c r="AL7" s="794"/>
      <c r="AM7" s="794"/>
      <c r="AN7" s="794"/>
      <c r="AO7" s="794"/>
    </row>
    <row r="8" spans="1:42" ht="13.35" customHeight="1"/>
    <row r="9" spans="1:42" ht="35.1" customHeight="1">
      <c r="J9" s="789" t="str">
        <f>'Translate&amp;Prices&amp;Logo'!$B$178</f>
        <v>Cena rámečků celkem</v>
      </c>
      <c r="K9" s="789"/>
      <c r="L9" s="789"/>
      <c r="M9" s="789"/>
      <c r="N9" s="789"/>
      <c r="O9" s="789"/>
      <c r="P9" s="789"/>
      <c r="Q9" s="789"/>
      <c r="R9" s="789"/>
      <c r="S9" s="789"/>
      <c r="T9" s="789"/>
      <c r="U9" s="789"/>
      <c r="V9" s="789"/>
      <c r="W9" s="789"/>
      <c r="X9" s="789"/>
      <c r="Y9" s="789"/>
      <c r="Z9" s="419"/>
      <c r="AA9" s="790">
        <f>SUM(Ram_1!$L$30,Ram_2!$L$30,Ram_3!$L$30,Ram_4!$L$30,Ram_5!$L$30,Ram_6!$L$30)</f>
        <v>0</v>
      </c>
      <c r="AB9" s="790"/>
      <c r="AC9" s="790"/>
      <c r="AD9" s="790"/>
      <c r="AE9" s="790"/>
      <c r="AF9" s="790"/>
      <c r="AG9" s="790"/>
      <c r="AH9" s="790"/>
      <c r="AI9" s="790"/>
      <c r="AJ9" s="790"/>
      <c r="AK9" s="790"/>
      <c r="AL9" s="790"/>
      <c r="AM9" s="790"/>
    </row>
    <row r="10" spans="1:42" ht="14.85" customHeight="1" thickBot="1"/>
    <row r="11" spans="1:42" ht="14.85" customHeight="1" thickTop="1">
      <c r="B11" s="420"/>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1"/>
      <c r="AF11" s="422"/>
      <c r="AG11" s="420"/>
      <c r="AH11" s="420"/>
      <c r="AI11" s="420"/>
      <c r="AJ11" s="420"/>
      <c r="AK11" s="420"/>
      <c r="AL11" s="420"/>
      <c r="AM11" s="420"/>
      <c r="AN11" s="420"/>
      <c r="AO11" s="420"/>
    </row>
    <row r="12" spans="1:42" ht="14.85" customHeight="1">
      <c r="D12" s="796" t="str">
        <f>"&lt; "&amp;'Translate&amp;Prices&amp;Logo'!$B$574&amp;" -- "&amp;Ram_1!$A$2</f>
        <v>&lt; Zpět -- Rámeček  1</v>
      </c>
      <c r="E12" s="796"/>
      <c r="F12" s="796"/>
      <c r="G12" s="796"/>
      <c r="H12" s="796"/>
    </row>
    <row r="37" spans="2:41" ht="14.85" customHeight="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1"/>
      <c r="AF37" s="332"/>
      <c r="AG37" s="330"/>
      <c r="AH37" s="330"/>
      <c r="AI37" s="330"/>
      <c r="AJ37" s="330"/>
      <c r="AK37" s="330"/>
      <c r="AL37" s="330"/>
      <c r="AM37" s="330"/>
      <c r="AN37" s="330"/>
      <c r="AO37" s="330"/>
    </row>
    <row r="38" spans="2:41" ht="15"/>
    <row r="39" spans="2:41" ht="15">
      <c r="D39" s="796" t="str">
        <f>"&lt; "&amp;'Translate&amp;Prices&amp;Logo'!$B$574&amp;" -- "&amp;Ram_2!$A$2</f>
        <v>&lt; Zpět -- Rámeček  2</v>
      </c>
      <c r="E39" s="796"/>
      <c r="F39" s="796"/>
      <c r="G39" s="796"/>
      <c r="H39" s="796"/>
    </row>
    <row r="40" spans="2:41" ht="15"/>
    <row r="41" spans="2:41" ht="15"/>
    <row r="42" spans="2:41" ht="15"/>
    <row r="43" spans="2:41" ht="15"/>
    <row r="44" spans="2:41" ht="15"/>
    <row r="45" spans="2:41" ht="15"/>
    <row r="46" spans="2:41" ht="15"/>
    <row r="47" spans="2:41" ht="15"/>
    <row r="48" spans="2:41" ht="15"/>
    <row r="49" spans="2:41" ht="15"/>
    <row r="50" spans="2:41" ht="15"/>
    <row r="51" spans="2:41" ht="15"/>
    <row r="52" spans="2:41" ht="15"/>
    <row r="53" spans="2:41" ht="15"/>
    <row r="54" spans="2:41" ht="15"/>
    <row r="55" spans="2:41" ht="15"/>
    <row r="56" spans="2:41" ht="15"/>
    <row r="57" spans="2:41" ht="15"/>
    <row r="58" spans="2:41" ht="15"/>
    <row r="59" spans="2:41" ht="15"/>
    <row r="60" spans="2:41" ht="15"/>
    <row r="61" spans="2:41" ht="15"/>
    <row r="62" spans="2:41" ht="15"/>
    <row r="63" spans="2:41" ht="15"/>
    <row r="64" spans="2:41" ht="15">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1"/>
      <c r="AF64" s="332"/>
      <c r="AG64" s="330"/>
      <c r="AH64" s="330"/>
      <c r="AI64" s="330"/>
      <c r="AJ64" s="330"/>
      <c r="AK64" s="330"/>
      <c r="AL64" s="330"/>
      <c r="AM64" s="330"/>
      <c r="AN64" s="330"/>
      <c r="AO64" s="330"/>
    </row>
    <row r="65" spans="4:8" ht="15"/>
    <row r="66" spans="4:8" ht="15">
      <c r="D66" s="796" t="str">
        <f>"&lt; "&amp;'Translate&amp;Prices&amp;Logo'!$B$574&amp;" -- "&amp;Ram_3!$A$2</f>
        <v>&lt; Zpět -- Rámeček  3</v>
      </c>
      <c r="E66" s="796"/>
      <c r="F66" s="796"/>
      <c r="G66" s="796"/>
      <c r="H66" s="796"/>
    </row>
    <row r="67" spans="4:8" ht="15"/>
    <row r="68" spans="4:8" ht="15"/>
    <row r="69" spans="4:8" ht="15"/>
    <row r="70" spans="4:8" ht="15"/>
    <row r="71" spans="4:8" ht="15"/>
    <row r="72" spans="4:8" ht="15"/>
    <row r="73" spans="4:8" ht="15"/>
    <row r="74" spans="4:8" ht="15"/>
    <row r="75" spans="4:8" ht="15"/>
    <row r="76" spans="4:8" ht="15"/>
    <row r="77" spans="4:8" ht="15"/>
    <row r="78" spans="4:8" ht="15"/>
    <row r="79" spans="4:8" ht="15"/>
    <row r="80" spans="4:8" ht="15"/>
    <row r="81" spans="2:41" ht="15"/>
    <row r="82" spans="2:41" ht="15"/>
    <row r="83" spans="2:41" ht="15"/>
    <row r="84" spans="2:41" ht="15"/>
    <row r="85" spans="2:41" ht="15"/>
    <row r="86" spans="2:41" ht="15"/>
    <row r="87" spans="2:41" ht="15"/>
    <row r="88" spans="2:41" ht="15"/>
    <row r="89" spans="2:41" ht="15"/>
    <row r="90" spans="2:41" ht="15"/>
    <row r="91" spans="2:41" ht="15">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1"/>
      <c r="AF91" s="332"/>
      <c r="AG91" s="330"/>
      <c r="AH91" s="330"/>
      <c r="AI91" s="330"/>
      <c r="AJ91" s="330"/>
      <c r="AK91" s="330"/>
      <c r="AL91" s="330"/>
      <c r="AM91" s="330"/>
      <c r="AN91" s="330"/>
      <c r="AO91" s="330"/>
    </row>
    <row r="93" spans="2:41" ht="14.85" customHeight="1">
      <c r="D93" s="796" t="str">
        <f>"&lt; "&amp;'Translate&amp;Prices&amp;Logo'!$B$574&amp;" -- "&amp;Ram_4!$A$2</f>
        <v>&lt; Zpět -- Rámeček  4</v>
      </c>
      <c r="E93" s="796"/>
      <c r="F93" s="796"/>
      <c r="G93" s="796"/>
      <c r="H93" s="796"/>
    </row>
    <row r="118" spans="2:41" ht="14.85" customHeight="1">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1"/>
      <c r="AF118" s="332"/>
      <c r="AG118" s="330"/>
      <c r="AH118" s="330"/>
      <c r="AI118" s="330"/>
      <c r="AJ118" s="330"/>
      <c r="AK118" s="330"/>
      <c r="AL118" s="330"/>
      <c r="AM118" s="330"/>
      <c r="AN118" s="330"/>
      <c r="AO118" s="330"/>
    </row>
    <row r="120" spans="2:41" ht="14.85" customHeight="1">
      <c r="D120" s="796" t="str">
        <f>"&lt; "&amp;'Translate&amp;Prices&amp;Logo'!$B$574&amp;" -- "&amp;Ram_5!$A$2</f>
        <v>&lt; Zpět -- Rámeček  5</v>
      </c>
      <c r="E120" s="796"/>
      <c r="F120" s="796"/>
      <c r="G120" s="796"/>
      <c r="H120" s="796"/>
    </row>
    <row r="145" spans="2:41" ht="14.85" customHeight="1">
      <c r="B145" s="330"/>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c r="AC145" s="330"/>
      <c r="AD145" s="330"/>
      <c r="AE145" s="331"/>
      <c r="AF145" s="332"/>
      <c r="AG145" s="330"/>
      <c r="AH145" s="330"/>
      <c r="AI145" s="330"/>
      <c r="AJ145" s="330"/>
      <c r="AK145" s="330"/>
      <c r="AL145" s="330"/>
      <c r="AM145" s="330"/>
      <c r="AN145" s="330"/>
      <c r="AO145" s="330"/>
    </row>
    <row r="147" spans="2:41" ht="14.85" customHeight="1">
      <c r="D147" s="796" t="str">
        <f>"&lt; "&amp;'Translate&amp;Prices&amp;Logo'!$B$574&amp;" -- "&amp;Ram_6!$A$2</f>
        <v>&lt; Zpět -- Rámeček  6</v>
      </c>
      <c r="E147" s="796"/>
      <c r="F147" s="796"/>
      <c r="G147" s="796"/>
      <c r="H147" s="796"/>
    </row>
    <row r="172" spans="2:41" ht="14.85" customHeight="1">
      <c r="B172" s="330"/>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c r="AC172" s="330"/>
      <c r="AD172" s="330"/>
      <c r="AE172" s="331"/>
      <c r="AF172" s="332"/>
      <c r="AG172" s="330"/>
      <c r="AH172" s="330"/>
      <c r="AI172" s="330"/>
      <c r="AJ172" s="330"/>
      <c r="AK172" s="330"/>
      <c r="AL172" s="330"/>
      <c r="AM172" s="330"/>
      <c r="AN172" s="330"/>
      <c r="AO172" s="330"/>
    </row>
    <row r="174" spans="2:41" ht="32.85" customHeight="1">
      <c r="J174" s="789" t="str">
        <f>'Translate&amp;Prices&amp;Logo'!$B$178</f>
        <v>Cena rámečků celkem</v>
      </c>
      <c r="K174" s="789"/>
      <c r="L174" s="789"/>
      <c r="M174" s="789"/>
      <c r="N174" s="789"/>
      <c r="O174" s="789"/>
      <c r="P174" s="789"/>
      <c r="Q174" s="789"/>
      <c r="R174" s="789"/>
      <c r="S174" s="789"/>
      <c r="T174" s="789"/>
      <c r="U174" s="789"/>
      <c r="V174" s="789"/>
      <c r="W174" s="789"/>
      <c r="X174" s="789"/>
      <c r="Y174" s="789"/>
      <c r="Z174" s="419"/>
      <c r="AA174" s="790">
        <f>SUM(Ram_1!$L$30,Ram_2!$L$30,Ram_3!$L$30,Ram_4!$L$30,Ram_5!$L$30,Ram_6!$L$30)</f>
        <v>0</v>
      </c>
      <c r="AB174" s="790"/>
      <c r="AC174" s="790"/>
      <c r="AD174" s="790"/>
      <c r="AE174" s="790"/>
      <c r="AF174" s="790"/>
      <c r="AG174" s="790"/>
      <c r="AH174" s="790"/>
      <c r="AI174" s="790"/>
      <c r="AJ174" s="790"/>
      <c r="AK174" s="790"/>
      <c r="AL174" s="790"/>
      <c r="AM174" s="790"/>
    </row>
  </sheetData>
  <sheetProtection algorithmName="SHA-512" hashValue="XKxPxrUv6QoyNYFMNmiFXix2MR29UoEBjUM/D8xiG+zZGJha/aPPJDyHD2ae8Qicu4WlDDZQEB68EkAh4Tq4nw==" saltValue="eAsejJNlyKHWeCnUWl/VOw==" spinCount="100000" sheet="1" selectLockedCells="1"/>
  <mergeCells count="26">
    <mergeCell ref="L5:O5"/>
    <mergeCell ref="L6:O6"/>
    <mergeCell ref="AM1:AP1"/>
    <mergeCell ref="Y5:AB5"/>
    <mergeCell ref="AD5:AJ5"/>
    <mergeCell ref="Y6:AB6"/>
    <mergeCell ref="AL2:AP3"/>
    <mergeCell ref="AL5:AO5"/>
    <mergeCell ref="AD6:AJ6"/>
    <mergeCell ref="Q5:W5"/>
    <mergeCell ref="Q6:W6"/>
    <mergeCell ref="D120:H120"/>
    <mergeCell ref="D147:H147"/>
    <mergeCell ref="D12:H12"/>
    <mergeCell ref="D39:H39"/>
    <mergeCell ref="D66:H66"/>
    <mergeCell ref="D93:H93"/>
    <mergeCell ref="J174:Y174"/>
    <mergeCell ref="AA174:AM174"/>
    <mergeCell ref="J9:Y9"/>
    <mergeCell ref="AA9:AM9"/>
    <mergeCell ref="L7:O7"/>
    <mergeCell ref="AL6:AO7"/>
    <mergeCell ref="Y7:AB7"/>
    <mergeCell ref="AD7:AJ7"/>
    <mergeCell ref="Q7:W7"/>
  </mergeCells>
  <conditionalFormatting sqref="Q5:W7 AD5:AJ7">
    <cfRule type="cellIs" dxfId="77" priority="13" operator="equal">
      <formula>0</formula>
    </cfRule>
  </conditionalFormatting>
  <hyperlinks>
    <hyperlink ref="D12:H12" location="Ram_1!H8" display="Ram_1!H8" xr:uid="{D68FF964-65D5-4DF8-BB19-6E4611C7C298}"/>
    <hyperlink ref="AL2:AO3" location="Hlavní!A1" display="Hlavní!A1" xr:uid="{9E78D769-C235-4371-AE7A-D533C59D2D23}"/>
    <hyperlink ref="D39:H39" location="Ram_2!H8" display="Ram_2!H8" xr:uid="{B2B6E23E-98E1-4A74-A4CC-287AF17859A8}"/>
    <hyperlink ref="D66:H66" location="Ram_3!H8" display="Ram_3!H8" xr:uid="{27F39622-A6EB-444A-8664-AB9AA9E8B35A}"/>
    <hyperlink ref="D93:H93" location="Ram_4!H8" display="Ram_4!H8" xr:uid="{C1B191D4-0306-4C82-9C1A-25094FF04AE6}"/>
    <hyperlink ref="D120:H120" location="Ram_5!H8" display="Ram_5!H8" xr:uid="{E1894653-1B92-4B0F-B555-612DD37C8B8B}"/>
    <hyperlink ref="D147:H147" location="Ram_6!H8" display="Ram_6!H8" xr:uid="{A7FB2F7E-A023-4419-8967-6071ED00C37A}"/>
  </hyperlinks>
  <pageMargins left="0.7" right="0.7" top="0.78740157499999996" bottom="0.78740157499999996" header="0.3" footer="0.3"/>
  <pageSetup paperSize="9" scale="70" fitToHeight="6" orientation="landscape" verticalDpi="300"/>
  <rowBreaks count="5" manualBreakCount="5">
    <brk id="37" max="41" man="1"/>
    <brk id="64" max="41" man="1"/>
    <brk id="91" max="41" man="1"/>
    <brk id="118" max="41" man="1"/>
    <brk id="145" max="41" man="1"/>
  </rowBreaks>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1"/>
  <sheetViews>
    <sheetView showGridLines="0" showRowColHeaders="0" workbookViewId="0">
      <selection activeCell="AT2" sqref="AT2:AW3"/>
    </sheetView>
  </sheetViews>
  <sheetFormatPr defaultColWidth="0" defaultRowHeight="0" customHeight="1" zeroHeight="1"/>
  <cols>
    <col min="1" max="30" width="4.42578125" style="1" customWidth="1"/>
    <col min="31" max="31" width="4.42578125" style="212" customWidth="1"/>
    <col min="32" max="32" width="4.42578125" style="160" customWidth="1"/>
    <col min="33" max="50" width="4.42578125" style="1" customWidth="1"/>
    <col min="51" max="16384" width="8.5703125" style="1" hidden="1"/>
  </cols>
  <sheetData>
    <row r="1" spans="1:50" ht="15">
      <c r="A1" s="324"/>
      <c r="B1" s="324"/>
      <c r="C1" s="324"/>
      <c r="D1" s="324"/>
      <c r="E1" s="324"/>
      <c r="F1" s="324"/>
      <c r="G1" s="324"/>
      <c r="H1" s="324"/>
      <c r="I1" s="324"/>
      <c r="J1" s="324"/>
      <c r="K1" s="324"/>
      <c r="L1" s="324"/>
      <c r="M1" s="324"/>
      <c r="N1" s="324"/>
      <c r="O1" s="324"/>
      <c r="P1" s="324"/>
      <c r="Q1" s="324"/>
      <c r="R1" s="324"/>
      <c r="S1" s="324"/>
      <c r="T1" s="324"/>
      <c r="U1" s="324"/>
      <c r="V1" s="324"/>
      <c r="AP1" s="324"/>
      <c r="AQ1" s="324"/>
      <c r="AR1" s="324"/>
      <c r="AS1" s="324"/>
      <c r="AT1" s="324"/>
      <c r="AU1" s="324"/>
      <c r="AV1" s="324"/>
      <c r="AW1" s="324"/>
      <c r="AX1" s="324"/>
    </row>
    <row r="2" spans="1:50" ht="15">
      <c r="A2" s="325"/>
      <c r="B2" s="325"/>
      <c r="C2" s="325"/>
      <c r="D2" s="325"/>
      <c r="E2" s="325"/>
      <c r="F2" s="325"/>
      <c r="G2" s="325"/>
      <c r="H2" s="325"/>
      <c r="I2" s="325"/>
      <c r="J2" s="325"/>
      <c r="K2" s="325"/>
      <c r="L2" s="325"/>
      <c r="M2" s="325"/>
      <c r="N2" s="325"/>
      <c r="O2" s="325"/>
      <c r="P2" s="325"/>
      <c r="Q2" s="325"/>
      <c r="R2" s="325"/>
      <c r="S2" s="325"/>
      <c r="T2" s="270"/>
      <c r="U2" s="270"/>
      <c r="V2" s="270"/>
      <c r="W2" s="270"/>
      <c r="X2" s="270"/>
      <c r="Y2" s="270"/>
      <c r="Z2" s="270"/>
      <c r="AA2" s="270"/>
      <c r="AB2" s="270"/>
      <c r="AC2" s="270"/>
      <c r="AD2" s="270"/>
      <c r="AE2" s="271"/>
      <c r="AF2" s="272"/>
      <c r="AG2" s="270"/>
      <c r="AH2" s="270"/>
      <c r="AI2" s="270"/>
      <c r="AJ2" s="270"/>
      <c r="AK2" s="270"/>
      <c r="AL2" s="270"/>
      <c r="AM2" s="270"/>
      <c r="AN2" s="270"/>
      <c r="AO2" s="270"/>
      <c r="AP2" s="270"/>
      <c r="AQ2" s="270"/>
      <c r="AR2" s="270"/>
      <c r="AS2" s="325"/>
      <c r="AT2" s="805" t="str">
        <f>'Translate&amp;Prices&amp;Logo'!$B$540</f>
        <v>Úvod</v>
      </c>
      <c r="AU2" s="675"/>
      <c r="AV2" s="675"/>
      <c r="AW2" s="675"/>
      <c r="AX2" s="325"/>
    </row>
    <row r="3" spans="1:50" ht="15">
      <c r="A3" s="325"/>
      <c r="B3" s="325"/>
      <c r="C3" s="325"/>
      <c r="D3" s="325"/>
      <c r="E3" s="325"/>
      <c r="F3" s="325"/>
      <c r="G3" s="325"/>
      <c r="H3" s="325"/>
      <c r="I3" s="325"/>
      <c r="J3" s="325"/>
      <c r="K3" s="325"/>
      <c r="L3" s="325"/>
      <c r="M3" s="325"/>
      <c r="N3" s="325"/>
      <c r="O3" s="325"/>
      <c r="P3" s="325"/>
      <c r="Q3" s="325"/>
      <c r="R3" s="325"/>
      <c r="S3" s="325"/>
      <c r="T3" s="270"/>
      <c r="U3" s="270"/>
      <c r="V3" s="270"/>
      <c r="W3" s="270"/>
      <c r="X3" s="270"/>
      <c r="Y3" s="270"/>
      <c r="Z3" s="270"/>
      <c r="AA3" s="270"/>
      <c r="AB3" s="270"/>
      <c r="AC3" s="270"/>
      <c r="AD3" s="270"/>
      <c r="AE3" s="271"/>
      <c r="AF3" s="272"/>
      <c r="AG3" s="270"/>
      <c r="AH3" s="270"/>
      <c r="AI3" s="270"/>
      <c r="AJ3" s="270"/>
      <c r="AK3" s="270"/>
      <c r="AL3" s="270"/>
      <c r="AM3" s="270"/>
      <c r="AN3" s="270"/>
      <c r="AO3" s="270"/>
      <c r="AP3" s="270"/>
      <c r="AQ3" s="270"/>
      <c r="AR3" s="270"/>
      <c r="AS3" s="325"/>
      <c r="AT3" s="805"/>
      <c r="AU3" s="675"/>
      <c r="AV3" s="675"/>
      <c r="AW3" s="675"/>
      <c r="AX3" s="325"/>
    </row>
    <row r="4" spans="1:50" ht="6.6" customHeight="1">
      <c r="A4" s="324"/>
      <c r="B4" s="324"/>
      <c r="C4" s="324"/>
      <c r="D4" s="324"/>
      <c r="E4" s="324"/>
      <c r="F4" s="324"/>
      <c r="G4" s="324"/>
      <c r="H4" s="324"/>
      <c r="I4" s="324"/>
      <c r="P4" s="716"/>
      <c r="Q4" s="716"/>
      <c r="R4" s="716"/>
      <c r="S4" s="716"/>
      <c r="T4" s="716"/>
      <c r="U4" s="716"/>
      <c r="V4" s="716"/>
      <c r="W4" s="716"/>
      <c r="X4" s="716"/>
      <c r="Y4" s="716"/>
      <c r="Z4" s="716"/>
      <c r="AA4" s="716"/>
      <c r="AB4" s="716"/>
      <c r="AC4" s="716"/>
      <c r="AD4" s="716"/>
      <c r="AP4" s="324"/>
      <c r="AQ4" s="324"/>
      <c r="AR4" s="324"/>
      <c r="AS4" s="324"/>
      <c r="AT4" s="324"/>
      <c r="AU4" s="324"/>
      <c r="AV4" s="324"/>
      <c r="AW4" s="324"/>
    </row>
    <row r="5" spans="1:50" ht="15" customHeight="1">
      <c r="A5" s="324"/>
      <c r="B5" s="324"/>
      <c r="C5" s="324"/>
      <c r="D5" s="324"/>
      <c r="E5" s="324"/>
      <c r="F5" s="324"/>
      <c r="G5" s="324"/>
      <c r="H5" s="324"/>
      <c r="I5" s="324"/>
      <c r="P5" s="716"/>
      <c r="Q5" s="716"/>
      <c r="R5" s="716"/>
      <c r="S5" s="716"/>
      <c r="T5" s="716"/>
      <c r="U5" s="716"/>
      <c r="V5" s="716"/>
      <c r="W5" s="716"/>
      <c r="X5" s="716"/>
      <c r="Y5" s="716"/>
      <c r="Z5" s="716"/>
      <c r="AA5" s="716"/>
      <c r="AB5" s="716"/>
      <c r="AC5" s="716"/>
      <c r="AD5" s="716"/>
      <c r="AP5" s="324"/>
      <c r="AQ5" s="324"/>
      <c r="AR5" s="324"/>
      <c r="AS5" s="324"/>
      <c r="AT5" s="324"/>
      <c r="AU5" s="324"/>
      <c r="AV5" s="324"/>
      <c r="AW5" s="324"/>
    </row>
    <row r="6" spans="1:50" ht="15">
      <c r="A6" s="324"/>
      <c r="B6" s="324"/>
      <c r="C6" s="324"/>
      <c r="D6" s="324"/>
      <c r="E6" s="324"/>
      <c r="F6" s="324"/>
      <c r="G6" s="324"/>
      <c r="H6" s="324"/>
      <c r="I6" s="324"/>
      <c r="J6" s="324"/>
      <c r="K6" s="324"/>
      <c r="L6" s="324"/>
      <c r="M6" s="324"/>
      <c r="N6" s="324"/>
      <c r="O6" s="324"/>
      <c r="P6" s="324"/>
      <c r="Q6" s="324"/>
      <c r="R6" s="324"/>
      <c r="S6" s="324"/>
      <c r="T6" s="324"/>
      <c r="U6" s="324"/>
      <c r="V6" s="324"/>
      <c r="AP6" s="324"/>
      <c r="AQ6" s="324"/>
      <c r="AR6" s="324"/>
      <c r="AS6" s="324"/>
      <c r="AT6" s="324"/>
      <c r="AU6" s="324"/>
      <c r="AV6" s="324"/>
      <c r="AW6" s="324"/>
      <c r="AX6" s="324"/>
    </row>
    <row r="7" spans="1:50" ht="14.85" customHeight="1"/>
    <row r="8" spans="1:50" ht="14.85" customHeight="1"/>
    <row r="9" spans="1:50" ht="14.85" customHeight="1"/>
    <row r="10" spans="1:50" s="289" customFormat="1" ht="14.85" customHeight="1"/>
    <row r="11" spans="1:50" ht="14.85" customHeight="1"/>
    <row r="12" spans="1:50" ht="14.85" customHeight="1"/>
    <row r="13" spans="1:50" ht="14.85" customHeight="1"/>
    <row r="14" spans="1:50" ht="14.85" customHeight="1"/>
    <row r="15" spans="1:50" ht="14.85" customHeight="1"/>
    <row r="16" spans="1:50" s="28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89" customFormat="1" ht="14.85" customHeight="1"/>
    <row r="26" spans="2:50" ht="14.85" customHeight="1"/>
    <row r="27" spans="2:50" ht="14.85" customHeight="1"/>
    <row r="28" spans="2:50" ht="14.85" customHeight="1"/>
    <row r="29" spans="2:50" s="289" customFormat="1" ht="12">
      <c r="AQ29" s="806"/>
      <c r="AR29" s="806"/>
      <c r="AS29" s="806"/>
    </row>
    <row r="30" spans="2:50" ht="17.100000000000001" customHeight="1">
      <c r="B30" s="803" t="s">
        <v>411</v>
      </c>
      <c r="C30" s="803"/>
      <c r="D30" s="803"/>
      <c r="E30" s="803"/>
      <c r="F30" s="803"/>
      <c r="G30" s="803"/>
      <c r="H30" s="803"/>
      <c r="I30" s="803"/>
      <c r="J30" s="803"/>
      <c r="K30" s="803"/>
      <c r="L30" s="803"/>
      <c r="M30" s="803"/>
      <c r="N30" s="803"/>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row>
    <row r="31" spans="2:50" ht="15"/>
    <row r="32" spans="2:50" ht="15">
      <c r="B32" s="289"/>
      <c r="C32" s="804" t="s">
        <v>398</v>
      </c>
      <c r="D32" s="804"/>
      <c r="E32" s="804"/>
      <c r="F32" s="804"/>
      <c r="G32" s="804"/>
      <c r="H32" s="473"/>
      <c r="I32" s="804" t="s">
        <v>399</v>
      </c>
      <c r="J32" s="804"/>
      <c r="K32" s="804"/>
      <c r="L32" s="804"/>
      <c r="M32" s="804"/>
      <c r="N32" s="473"/>
      <c r="O32" s="804" t="s">
        <v>386</v>
      </c>
      <c r="P32" s="804"/>
      <c r="Q32" s="804"/>
      <c r="R32" s="804"/>
      <c r="S32" s="804"/>
      <c r="T32" s="473"/>
      <c r="U32" s="804" t="s">
        <v>388</v>
      </c>
      <c r="V32" s="804"/>
      <c r="W32" s="804"/>
      <c r="X32" s="804"/>
      <c r="Y32" s="804"/>
      <c r="Z32" s="473"/>
      <c r="AA32" s="804" t="s">
        <v>3452</v>
      </c>
      <c r="AB32" s="804"/>
      <c r="AC32" s="804"/>
      <c r="AD32" s="804"/>
      <c r="AE32" s="804"/>
      <c r="AF32" s="473"/>
      <c r="AG32" s="804" t="s">
        <v>396</v>
      </c>
      <c r="AH32" s="804"/>
      <c r="AI32" s="804"/>
      <c r="AJ32" s="804"/>
      <c r="AK32" s="804"/>
      <c r="AL32" s="473"/>
      <c r="AM32" s="804" t="s">
        <v>397</v>
      </c>
      <c r="AN32" s="804"/>
      <c r="AO32" s="804"/>
      <c r="AP32" s="804"/>
      <c r="AQ32" s="804"/>
      <c r="AR32" s="473"/>
      <c r="AS32" s="804" t="s">
        <v>401</v>
      </c>
      <c r="AT32" s="804"/>
      <c r="AU32" s="804"/>
      <c r="AV32" s="804"/>
      <c r="AW32" s="804"/>
      <c r="AX32" s="289"/>
    </row>
    <row r="33" spans="2:71" ht="8.85" customHeight="1">
      <c r="C33" s="472"/>
      <c r="D33" s="472"/>
      <c r="E33" s="472"/>
      <c r="F33" s="472"/>
      <c r="G33" s="472"/>
      <c r="H33" s="472"/>
      <c r="I33" s="472"/>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472"/>
      <c r="AJ33" s="472"/>
      <c r="AK33" s="472"/>
      <c r="AL33" s="472"/>
      <c r="AM33" s="472"/>
      <c r="AN33" s="472"/>
      <c r="AO33" s="472"/>
      <c r="AP33" s="472"/>
      <c r="AQ33" s="472"/>
      <c r="AR33" s="472"/>
      <c r="AS33" s="472"/>
      <c r="AT33" s="472"/>
      <c r="AU33" s="472"/>
      <c r="AV33" s="472"/>
      <c r="AW33" s="472"/>
    </row>
    <row r="34" spans="2:71" ht="15">
      <c r="C34" s="802"/>
      <c r="D34" s="802"/>
      <c r="E34" s="802"/>
      <c r="F34" s="802"/>
      <c r="G34" s="802"/>
      <c r="H34" s="472"/>
      <c r="I34" s="802"/>
      <c r="J34" s="802"/>
      <c r="K34" s="802"/>
      <c r="L34" s="802"/>
      <c r="M34" s="802"/>
      <c r="N34" s="472"/>
      <c r="O34" s="802"/>
      <c r="P34" s="802"/>
      <c r="Q34" s="802"/>
      <c r="R34" s="802"/>
      <c r="S34" s="802"/>
      <c r="T34" s="472"/>
      <c r="U34" s="802"/>
      <c r="V34" s="802"/>
      <c r="W34" s="802"/>
      <c r="X34" s="802"/>
      <c r="Y34" s="802"/>
      <c r="Z34" s="472"/>
      <c r="AA34" s="802"/>
      <c r="AB34" s="802"/>
      <c r="AC34" s="802"/>
      <c r="AD34" s="802"/>
      <c r="AE34" s="802"/>
      <c r="AF34" s="472"/>
      <c r="AG34" s="802"/>
      <c r="AH34" s="802"/>
      <c r="AI34" s="802"/>
      <c r="AJ34" s="802"/>
      <c r="AK34" s="802"/>
      <c r="AL34" s="472"/>
      <c r="AM34" s="802"/>
      <c r="AN34" s="802"/>
      <c r="AO34" s="802"/>
      <c r="AP34" s="802"/>
      <c r="AQ34" s="802"/>
      <c r="AR34" s="472"/>
      <c r="AS34" s="802"/>
      <c r="AT34" s="802"/>
      <c r="AU34" s="802"/>
      <c r="AV34" s="802"/>
      <c r="AW34" s="802"/>
    </row>
    <row r="35" spans="2:71" ht="14.85" customHeight="1">
      <c r="C35" s="802"/>
      <c r="D35" s="802"/>
      <c r="E35" s="802"/>
      <c r="F35" s="802"/>
      <c r="G35" s="802"/>
      <c r="H35" s="472"/>
      <c r="I35" s="802"/>
      <c r="J35" s="802"/>
      <c r="K35" s="802"/>
      <c r="L35" s="802"/>
      <c r="M35" s="802"/>
      <c r="N35" s="472"/>
      <c r="O35" s="802"/>
      <c r="P35" s="802"/>
      <c r="Q35" s="802"/>
      <c r="R35" s="802"/>
      <c r="S35" s="802"/>
      <c r="T35" s="472"/>
      <c r="U35" s="802"/>
      <c r="V35" s="802"/>
      <c r="W35" s="802"/>
      <c r="X35" s="802"/>
      <c r="Y35" s="802"/>
      <c r="Z35" s="472"/>
      <c r="AA35" s="802"/>
      <c r="AB35" s="802"/>
      <c r="AC35" s="802"/>
      <c r="AD35" s="802"/>
      <c r="AE35" s="802"/>
      <c r="AF35" s="472"/>
      <c r="AG35" s="802"/>
      <c r="AH35" s="802"/>
      <c r="AI35" s="802"/>
      <c r="AJ35" s="802"/>
      <c r="AK35" s="802"/>
      <c r="AL35" s="472"/>
      <c r="AM35" s="802"/>
      <c r="AN35" s="802"/>
      <c r="AO35" s="802"/>
      <c r="AP35" s="802"/>
      <c r="AQ35" s="802"/>
      <c r="AR35" s="472"/>
      <c r="AS35" s="802"/>
      <c r="AT35" s="802"/>
      <c r="AU35" s="802"/>
      <c r="AV35" s="802"/>
      <c r="AW35" s="802"/>
    </row>
    <row r="36" spans="2:71" ht="14.85" customHeight="1">
      <c r="C36" s="802"/>
      <c r="D36" s="802"/>
      <c r="E36" s="802"/>
      <c r="F36" s="802"/>
      <c r="G36" s="802"/>
      <c r="H36" s="472"/>
      <c r="I36" s="802"/>
      <c r="J36" s="802"/>
      <c r="K36" s="802"/>
      <c r="L36" s="802"/>
      <c r="M36" s="802"/>
      <c r="N36" s="472"/>
      <c r="O36" s="802"/>
      <c r="P36" s="802"/>
      <c r="Q36" s="802"/>
      <c r="R36" s="802"/>
      <c r="S36" s="802"/>
      <c r="T36" s="472"/>
      <c r="U36" s="802"/>
      <c r="V36" s="802"/>
      <c r="W36" s="802"/>
      <c r="X36" s="802"/>
      <c r="Y36" s="802"/>
      <c r="Z36" s="472"/>
      <c r="AA36" s="802"/>
      <c r="AB36" s="802"/>
      <c r="AC36" s="802"/>
      <c r="AD36" s="802"/>
      <c r="AE36" s="802"/>
      <c r="AF36" s="472"/>
      <c r="AG36" s="802"/>
      <c r="AH36" s="802"/>
      <c r="AI36" s="802"/>
      <c r="AJ36" s="802"/>
      <c r="AK36" s="802"/>
      <c r="AL36" s="472"/>
      <c r="AM36" s="802"/>
      <c r="AN36" s="802"/>
      <c r="AO36" s="802"/>
      <c r="AP36" s="802"/>
      <c r="AQ36" s="802"/>
      <c r="AR36" s="472"/>
      <c r="AS36" s="802"/>
      <c r="AT36" s="802"/>
      <c r="AU36" s="802"/>
      <c r="AV36" s="802"/>
      <c r="AW36" s="802"/>
    </row>
    <row r="37" spans="2:71" ht="14.85" customHeight="1">
      <c r="C37" s="472"/>
      <c r="D37" s="472"/>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72"/>
      <c r="AC37" s="472"/>
      <c r="AD37" s="472"/>
      <c r="AE37" s="474"/>
      <c r="AF37" s="475"/>
      <c r="AG37" s="472"/>
      <c r="AH37" s="472"/>
      <c r="AI37" s="472"/>
      <c r="AJ37" s="472"/>
      <c r="AK37" s="472"/>
      <c r="AL37" s="472"/>
      <c r="AM37" s="472"/>
      <c r="AN37" s="472"/>
      <c r="AO37" s="472"/>
      <c r="AP37" s="472"/>
      <c r="AQ37" s="472"/>
      <c r="AR37" s="472"/>
      <c r="AS37" s="472"/>
      <c r="AT37" s="472"/>
      <c r="AU37" s="472"/>
      <c r="AV37" s="472"/>
      <c r="AW37" s="472"/>
      <c r="BC37" s="800" t="str">
        <f>'Translate&amp;Prices&amp;Logo'!$B$257</f>
        <v>Barevné náhledy u jednotlivých názvů RAL a REF jsou pouze orientační!!!!</v>
      </c>
      <c r="BD37" s="800"/>
      <c r="BE37" s="800"/>
      <c r="BF37" s="800"/>
      <c r="BG37" s="800"/>
      <c r="BH37" s="800"/>
      <c r="BI37" s="800"/>
      <c r="BJ37" s="800"/>
      <c r="BK37" s="800"/>
      <c r="BL37" s="800"/>
      <c r="BM37" s="800"/>
      <c r="BN37" s="800"/>
      <c r="BO37" s="800"/>
      <c r="BP37" s="800"/>
      <c r="BQ37" s="800"/>
      <c r="BR37" s="800"/>
      <c r="BS37" s="800"/>
    </row>
    <row r="38" spans="2:71" ht="14.85" customHeight="1">
      <c r="B38" s="289"/>
      <c r="C38" s="804" t="s">
        <v>389</v>
      </c>
      <c r="D38" s="804"/>
      <c r="E38" s="804"/>
      <c r="F38" s="804"/>
      <c r="G38" s="804"/>
      <c r="H38" s="473"/>
      <c r="I38" s="804" t="s">
        <v>390</v>
      </c>
      <c r="J38" s="804"/>
      <c r="K38" s="804"/>
      <c r="L38" s="804"/>
      <c r="M38" s="804"/>
      <c r="N38" s="473"/>
      <c r="O38" s="804" t="s">
        <v>393</v>
      </c>
      <c r="P38" s="804"/>
      <c r="Q38" s="804"/>
      <c r="R38" s="804"/>
      <c r="S38" s="804"/>
      <c r="T38" s="473"/>
      <c r="U38" s="804" t="s">
        <v>395</v>
      </c>
      <c r="V38" s="804"/>
      <c r="W38" s="804"/>
      <c r="X38" s="804"/>
      <c r="Y38" s="804"/>
      <c r="Z38" s="473"/>
      <c r="AA38" s="804" t="s">
        <v>392</v>
      </c>
      <c r="AB38" s="804"/>
      <c r="AC38" s="804"/>
      <c r="AD38" s="804"/>
      <c r="AE38" s="804"/>
      <c r="AF38" s="473"/>
      <c r="AG38" s="804" t="s">
        <v>400</v>
      </c>
      <c r="AH38" s="804"/>
      <c r="AI38" s="804"/>
      <c r="AJ38" s="804"/>
      <c r="AK38" s="804"/>
      <c r="AL38" s="473"/>
      <c r="AM38" s="804" t="s">
        <v>3453</v>
      </c>
      <c r="AN38" s="804"/>
      <c r="AO38" s="804"/>
      <c r="AP38" s="804"/>
      <c r="AQ38" s="804"/>
      <c r="AR38" s="473"/>
      <c r="AS38" s="804" t="s">
        <v>3454</v>
      </c>
      <c r="AT38" s="804"/>
      <c r="AU38" s="804"/>
      <c r="AV38" s="804"/>
      <c r="AW38" s="804"/>
      <c r="AX38" s="289"/>
      <c r="BC38" s="801" t="str">
        <f>'Translate&amp;Prices&amp;Logo'!$B$329</f>
        <v>Vzorkovník skel je možné objednat pod kódy Lacebel VZK003P a Matelac VZK004P.</v>
      </c>
      <c r="BD38" s="801"/>
      <c r="BE38" s="801"/>
      <c r="BF38" s="801"/>
      <c r="BG38" s="801"/>
      <c r="BH38" s="801"/>
      <c r="BI38" s="801"/>
      <c r="BJ38" s="801"/>
      <c r="BK38" s="801"/>
      <c r="BL38" s="801"/>
      <c r="BM38" s="801"/>
      <c r="BN38" s="801"/>
      <c r="BO38" s="801"/>
      <c r="BP38" s="801"/>
      <c r="BQ38" s="801"/>
      <c r="BR38" s="801"/>
      <c r="BS38" s="801"/>
    </row>
    <row r="39" spans="2:71" ht="8.85" customHeight="1">
      <c r="C39" s="472"/>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row>
    <row r="40" spans="2:71" ht="15">
      <c r="C40" s="802"/>
      <c r="D40" s="802"/>
      <c r="E40" s="802"/>
      <c r="F40" s="802"/>
      <c r="G40" s="802"/>
      <c r="H40" s="472"/>
      <c r="I40" s="802"/>
      <c r="J40" s="802"/>
      <c r="K40" s="802"/>
      <c r="L40" s="802"/>
      <c r="M40" s="802"/>
      <c r="N40" s="472"/>
      <c r="O40" s="802"/>
      <c r="P40" s="802"/>
      <c r="Q40" s="802"/>
      <c r="R40" s="802"/>
      <c r="S40" s="802"/>
      <c r="T40" s="472"/>
      <c r="U40" s="802"/>
      <c r="V40" s="802"/>
      <c r="W40" s="802"/>
      <c r="X40" s="802"/>
      <c r="Y40" s="802"/>
      <c r="Z40" s="472"/>
      <c r="AA40" s="802"/>
      <c r="AB40" s="802"/>
      <c r="AC40" s="802"/>
      <c r="AD40" s="802"/>
      <c r="AE40" s="802"/>
      <c r="AF40" s="472"/>
      <c r="AG40" s="802"/>
      <c r="AH40" s="802"/>
      <c r="AI40" s="802"/>
      <c r="AJ40" s="802"/>
      <c r="AK40" s="802"/>
      <c r="AL40" s="472"/>
      <c r="AM40" s="802"/>
      <c r="AN40" s="802"/>
      <c r="AO40" s="802"/>
      <c r="AP40" s="802"/>
      <c r="AQ40" s="802"/>
      <c r="AR40" s="472"/>
      <c r="AS40" s="802"/>
      <c r="AT40" s="802"/>
      <c r="AU40" s="802"/>
      <c r="AV40" s="802"/>
      <c r="AW40" s="802"/>
    </row>
    <row r="41" spans="2:71" ht="14.85" customHeight="1">
      <c r="C41" s="802"/>
      <c r="D41" s="802"/>
      <c r="E41" s="802"/>
      <c r="F41" s="802"/>
      <c r="G41" s="802"/>
      <c r="H41" s="472"/>
      <c r="I41" s="802"/>
      <c r="J41" s="802"/>
      <c r="K41" s="802"/>
      <c r="L41" s="802"/>
      <c r="M41" s="802"/>
      <c r="N41" s="472"/>
      <c r="O41" s="802"/>
      <c r="P41" s="802"/>
      <c r="Q41" s="802"/>
      <c r="R41" s="802"/>
      <c r="S41" s="802"/>
      <c r="T41" s="472"/>
      <c r="U41" s="802"/>
      <c r="V41" s="802"/>
      <c r="W41" s="802"/>
      <c r="X41" s="802"/>
      <c r="Y41" s="802"/>
      <c r="Z41" s="472"/>
      <c r="AA41" s="802"/>
      <c r="AB41" s="802"/>
      <c r="AC41" s="802"/>
      <c r="AD41" s="802"/>
      <c r="AE41" s="802"/>
      <c r="AF41" s="472"/>
      <c r="AG41" s="802"/>
      <c r="AH41" s="802"/>
      <c r="AI41" s="802"/>
      <c r="AJ41" s="802"/>
      <c r="AK41" s="802"/>
      <c r="AL41" s="472"/>
      <c r="AM41" s="802"/>
      <c r="AN41" s="802"/>
      <c r="AO41" s="802"/>
      <c r="AP41" s="802"/>
      <c r="AQ41" s="802"/>
      <c r="AR41" s="472"/>
      <c r="AS41" s="802"/>
      <c r="AT41" s="802"/>
      <c r="AU41" s="802"/>
      <c r="AV41" s="802"/>
      <c r="AW41" s="802"/>
    </row>
    <row r="42" spans="2:71" ht="14.85" customHeight="1">
      <c r="C42" s="802"/>
      <c r="D42" s="802"/>
      <c r="E42" s="802"/>
      <c r="F42" s="802"/>
      <c r="G42" s="802"/>
      <c r="H42" s="472"/>
      <c r="I42" s="802"/>
      <c r="J42" s="802"/>
      <c r="K42" s="802"/>
      <c r="L42" s="802"/>
      <c r="M42" s="802"/>
      <c r="N42" s="472"/>
      <c r="O42" s="802"/>
      <c r="P42" s="802"/>
      <c r="Q42" s="802"/>
      <c r="R42" s="802"/>
      <c r="S42" s="802"/>
      <c r="T42" s="472"/>
      <c r="U42" s="802"/>
      <c r="V42" s="802"/>
      <c r="W42" s="802"/>
      <c r="X42" s="802"/>
      <c r="Y42" s="802"/>
      <c r="Z42" s="472"/>
      <c r="AA42" s="802"/>
      <c r="AB42" s="802"/>
      <c r="AC42" s="802"/>
      <c r="AD42" s="802"/>
      <c r="AE42" s="802"/>
      <c r="AF42" s="472"/>
      <c r="AG42" s="802"/>
      <c r="AH42" s="802"/>
      <c r="AI42" s="802"/>
      <c r="AJ42" s="802"/>
      <c r="AK42" s="802"/>
      <c r="AL42" s="472"/>
      <c r="AM42" s="802"/>
      <c r="AN42" s="802"/>
      <c r="AO42" s="802"/>
      <c r="AP42" s="802"/>
      <c r="AQ42" s="802"/>
      <c r="AR42" s="472"/>
      <c r="AS42" s="802"/>
      <c r="AT42" s="802"/>
      <c r="AU42" s="802"/>
      <c r="AV42" s="802"/>
      <c r="AW42" s="802"/>
    </row>
    <row r="43" spans="2:71" ht="14.85" customHeight="1">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4"/>
      <c r="AF43" s="475"/>
      <c r="AG43" s="472"/>
      <c r="AH43" s="472"/>
      <c r="AI43" s="472"/>
      <c r="AJ43" s="472"/>
      <c r="AK43" s="472"/>
      <c r="AL43" s="472"/>
      <c r="AM43" s="472"/>
      <c r="AN43" s="472"/>
      <c r="AO43" s="472"/>
      <c r="AP43" s="472"/>
      <c r="AQ43" s="472"/>
      <c r="AR43" s="472"/>
      <c r="AS43" s="472"/>
      <c r="AT43" s="472"/>
      <c r="AU43" s="472"/>
      <c r="AV43" s="472"/>
      <c r="AW43" s="472"/>
      <c r="BC43" s="800"/>
      <c r="BD43" s="800"/>
      <c r="BE43" s="800"/>
      <c r="BF43" s="800"/>
      <c r="BG43" s="800"/>
      <c r="BH43" s="800"/>
      <c r="BI43" s="800"/>
      <c r="BJ43" s="800"/>
      <c r="BK43" s="800"/>
      <c r="BL43" s="800"/>
      <c r="BM43" s="800"/>
      <c r="BN43" s="800"/>
      <c r="BO43" s="800"/>
      <c r="BP43" s="800"/>
      <c r="BQ43" s="800"/>
      <c r="BR43" s="800"/>
      <c r="BS43" s="800"/>
    </row>
    <row r="44" spans="2:71" ht="14.85" customHeight="1">
      <c r="B44" s="289"/>
      <c r="C44" s="804" t="s">
        <v>394</v>
      </c>
      <c r="D44" s="804"/>
      <c r="E44" s="804"/>
      <c r="F44" s="804"/>
      <c r="G44" s="804"/>
      <c r="H44" s="473"/>
      <c r="I44" s="804" t="s">
        <v>391</v>
      </c>
      <c r="J44" s="804"/>
      <c r="K44" s="804"/>
      <c r="L44" s="804"/>
      <c r="M44" s="804"/>
      <c r="N44" s="473"/>
      <c r="O44" s="804" t="s">
        <v>402</v>
      </c>
      <c r="P44" s="804"/>
      <c r="Q44" s="804"/>
      <c r="R44" s="804"/>
      <c r="S44" s="804"/>
      <c r="T44" s="473"/>
      <c r="U44" s="804" t="s">
        <v>3455</v>
      </c>
      <c r="V44" s="804"/>
      <c r="W44" s="804"/>
      <c r="X44" s="804"/>
      <c r="Y44" s="804"/>
      <c r="Z44" s="473"/>
      <c r="AA44" s="804" t="s">
        <v>387</v>
      </c>
      <c r="AB44" s="804"/>
      <c r="AC44" s="804"/>
      <c r="AD44" s="804"/>
      <c r="AE44" s="804"/>
      <c r="AF44" s="473"/>
      <c r="AG44" s="804" t="s">
        <v>3456</v>
      </c>
      <c r="AH44" s="804"/>
      <c r="AI44" s="804"/>
      <c r="AJ44" s="804"/>
      <c r="AK44" s="804"/>
      <c r="AL44" s="473"/>
      <c r="AM44" s="804" t="s">
        <v>3457</v>
      </c>
      <c r="AN44" s="804"/>
      <c r="AO44" s="804"/>
      <c r="AP44" s="804"/>
      <c r="AQ44" s="804"/>
      <c r="AR44" s="473"/>
      <c r="AS44" s="804" t="s">
        <v>3458</v>
      </c>
      <c r="AT44" s="804"/>
      <c r="AU44" s="804"/>
      <c r="AV44" s="804"/>
      <c r="AW44" s="804"/>
      <c r="AX44" s="289"/>
      <c r="BC44" s="801"/>
      <c r="BD44" s="801"/>
      <c r="BE44" s="801"/>
      <c r="BF44" s="801"/>
      <c r="BG44" s="801"/>
      <c r="BH44" s="801"/>
      <c r="BI44" s="801"/>
      <c r="BJ44" s="801"/>
      <c r="BK44" s="801"/>
      <c r="BL44" s="801"/>
      <c r="BM44" s="801"/>
      <c r="BN44" s="801"/>
      <c r="BO44" s="801"/>
      <c r="BP44" s="801"/>
      <c r="BQ44" s="801"/>
      <c r="BR44" s="801"/>
      <c r="BS44" s="801"/>
    </row>
    <row r="45" spans="2:71" ht="8.85" customHeight="1">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2"/>
      <c r="AN45" s="472"/>
      <c r="AO45" s="472"/>
      <c r="AP45" s="472"/>
      <c r="AQ45" s="472"/>
      <c r="AR45" s="472"/>
      <c r="AS45" s="472"/>
      <c r="AT45" s="472"/>
      <c r="AU45" s="472"/>
      <c r="AV45" s="472"/>
      <c r="AW45" s="472"/>
    </row>
    <row r="46" spans="2:71" ht="15">
      <c r="C46" s="802"/>
      <c r="D46" s="802"/>
      <c r="E46" s="802"/>
      <c r="F46" s="802"/>
      <c r="G46" s="802"/>
      <c r="H46" s="472"/>
      <c r="I46" s="802"/>
      <c r="J46" s="802"/>
      <c r="K46" s="802"/>
      <c r="L46" s="802"/>
      <c r="M46" s="802"/>
      <c r="N46" s="472"/>
      <c r="O46" s="802"/>
      <c r="P46" s="802"/>
      <c r="Q46" s="802"/>
      <c r="R46" s="802"/>
      <c r="S46" s="802"/>
      <c r="T46" s="472"/>
      <c r="U46" s="802"/>
      <c r="V46" s="802"/>
      <c r="W46" s="802"/>
      <c r="X46" s="802"/>
      <c r="Y46" s="802"/>
      <c r="Z46" s="472"/>
      <c r="AA46" s="802"/>
      <c r="AB46" s="802"/>
      <c r="AC46" s="802"/>
      <c r="AD46" s="802"/>
      <c r="AE46" s="802"/>
      <c r="AF46" s="472"/>
      <c r="AG46" s="802"/>
      <c r="AH46" s="802"/>
      <c r="AI46" s="802"/>
      <c r="AJ46" s="802"/>
      <c r="AK46" s="802"/>
      <c r="AL46" s="472"/>
      <c r="AM46" s="802"/>
      <c r="AN46" s="802"/>
      <c r="AO46" s="802"/>
      <c r="AP46" s="802"/>
      <c r="AQ46" s="802"/>
      <c r="AR46" s="472"/>
      <c r="AS46" s="802"/>
      <c r="AT46" s="802"/>
      <c r="AU46" s="802"/>
      <c r="AV46" s="802"/>
      <c r="AW46" s="802"/>
    </row>
    <row r="47" spans="2:71" ht="14.85" customHeight="1">
      <c r="C47" s="802"/>
      <c r="D47" s="802"/>
      <c r="E47" s="802"/>
      <c r="F47" s="802"/>
      <c r="G47" s="802"/>
      <c r="H47" s="472"/>
      <c r="I47" s="802"/>
      <c r="J47" s="802"/>
      <c r="K47" s="802"/>
      <c r="L47" s="802"/>
      <c r="M47" s="802"/>
      <c r="N47" s="472"/>
      <c r="O47" s="802"/>
      <c r="P47" s="802"/>
      <c r="Q47" s="802"/>
      <c r="R47" s="802"/>
      <c r="S47" s="802"/>
      <c r="T47" s="472"/>
      <c r="U47" s="802"/>
      <c r="V47" s="802"/>
      <c r="W47" s="802"/>
      <c r="X47" s="802"/>
      <c r="Y47" s="802"/>
      <c r="Z47" s="472"/>
      <c r="AA47" s="802"/>
      <c r="AB47" s="802"/>
      <c r="AC47" s="802"/>
      <c r="AD47" s="802"/>
      <c r="AE47" s="802"/>
      <c r="AF47" s="472"/>
      <c r="AG47" s="802"/>
      <c r="AH47" s="802"/>
      <c r="AI47" s="802"/>
      <c r="AJ47" s="802"/>
      <c r="AK47" s="802"/>
      <c r="AL47" s="472"/>
      <c r="AM47" s="802"/>
      <c r="AN47" s="802"/>
      <c r="AO47" s="802"/>
      <c r="AP47" s="802"/>
      <c r="AQ47" s="802"/>
      <c r="AR47" s="472"/>
      <c r="AS47" s="802"/>
      <c r="AT47" s="802"/>
      <c r="AU47" s="802"/>
      <c r="AV47" s="802"/>
      <c r="AW47" s="802"/>
    </row>
    <row r="48" spans="2:71" ht="14.85" customHeight="1">
      <c r="C48" s="802"/>
      <c r="D48" s="802"/>
      <c r="E48" s="802"/>
      <c r="F48" s="802"/>
      <c r="G48" s="802"/>
      <c r="H48" s="472"/>
      <c r="I48" s="802"/>
      <c r="J48" s="802"/>
      <c r="K48" s="802"/>
      <c r="L48" s="802"/>
      <c r="M48" s="802"/>
      <c r="N48" s="472"/>
      <c r="O48" s="802"/>
      <c r="P48" s="802"/>
      <c r="Q48" s="802"/>
      <c r="R48" s="802"/>
      <c r="S48" s="802"/>
      <c r="T48" s="472"/>
      <c r="U48" s="802"/>
      <c r="V48" s="802"/>
      <c r="W48" s="802"/>
      <c r="X48" s="802"/>
      <c r="Y48" s="802"/>
      <c r="Z48" s="472"/>
      <c r="AA48" s="802"/>
      <c r="AB48" s="802"/>
      <c r="AC48" s="802"/>
      <c r="AD48" s="802"/>
      <c r="AE48" s="802"/>
      <c r="AF48" s="472"/>
      <c r="AG48" s="802"/>
      <c r="AH48" s="802"/>
      <c r="AI48" s="802"/>
      <c r="AJ48" s="802"/>
      <c r="AK48" s="802"/>
      <c r="AL48" s="472"/>
      <c r="AM48" s="802"/>
      <c r="AN48" s="802"/>
      <c r="AO48" s="802"/>
      <c r="AP48" s="802"/>
      <c r="AQ48" s="802"/>
      <c r="AR48" s="472"/>
      <c r="AS48" s="802"/>
      <c r="AT48" s="802"/>
      <c r="AU48" s="802"/>
      <c r="AV48" s="802"/>
      <c r="AW48" s="802"/>
    </row>
    <row r="49" spans="2:71" ht="14.85" customHeight="1">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4"/>
      <c r="AF49" s="475"/>
      <c r="AG49" s="472"/>
      <c r="AH49" s="472"/>
      <c r="AI49" s="472"/>
      <c r="AJ49" s="472"/>
      <c r="AK49" s="472"/>
      <c r="AL49" s="472"/>
      <c r="AM49" s="472"/>
      <c r="AN49" s="472"/>
      <c r="AO49" s="472"/>
      <c r="AP49" s="472"/>
      <c r="AQ49" s="472"/>
      <c r="AR49" s="472"/>
      <c r="AS49" s="472"/>
      <c r="AT49" s="472"/>
      <c r="AU49" s="472"/>
      <c r="AV49" s="472"/>
      <c r="AW49" s="472"/>
      <c r="BC49" s="800"/>
      <c r="BD49" s="800"/>
      <c r="BE49" s="800"/>
      <c r="BF49" s="800"/>
      <c r="BG49" s="800"/>
      <c r="BH49" s="800"/>
      <c r="BI49" s="800"/>
      <c r="BJ49" s="800"/>
      <c r="BK49" s="800"/>
      <c r="BL49" s="800"/>
      <c r="BM49" s="800"/>
      <c r="BN49" s="800"/>
      <c r="BO49" s="800"/>
      <c r="BP49" s="800"/>
      <c r="BQ49" s="800"/>
      <c r="BR49" s="800"/>
      <c r="BS49" s="800"/>
    </row>
    <row r="50" spans="2:71" ht="14.85" customHeight="1"/>
    <row r="51" spans="2:71" ht="14.85" customHeight="1"/>
    <row r="52" spans="2:71" ht="17.100000000000001" customHeight="1">
      <c r="B52" s="803" t="s">
        <v>412</v>
      </c>
      <c r="C52" s="803"/>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row>
    <row r="53" spans="2:71" ht="14.85" customHeight="1">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U53" s="290"/>
      <c r="AV53" s="290"/>
      <c r="AW53" s="290"/>
      <c r="AX53" s="290"/>
    </row>
    <row r="54" spans="2:71" ht="14.85" customHeight="1">
      <c r="B54" s="289"/>
      <c r="H54" s="473"/>
      <c r="I54" s="804" t="s">
        <v>393</v>
      </c>
      <c r="J54" s="804"/>
      <c r="K54" s="804"/>
      <c r="L54" s="804"/>
      <c r="M54" s="804"/>
      <c r="N54" s="473"/>
      <c r="O54" s="804" t="s">
        <v>3459</v>
      </c>
      <c r="P54" s="804"/>
      <c r="Q54" s="804"/>
      <c r="R54" s="804"/>
      <c r="S54" s="804"/>
      <c r="T54" s="473"/>
      <c r="U54" s="804" t="s">
        <v>392</v>
      </c>
      <c r="V54" s="804"/>
      <c r="W54" s="804"/>
      <c r="X54" s="804"/>
      <c r="Y54" s="804"/>
      <c r="Z54" s="473"/>
      <c r="AA54" s="804" t="s">
        <v>3460</v>
      </c>
      <c r="AB54" s="804"/>
      <c r="AC54" s="804"/>
      <c r="AD54" s="804"/>
      <c r="AE54" s="804"/>
      <c r="AF54" s="473"/>
      <c r="AG54" s="804" t="s">
        <v>3461</v>
      </c>
      <c r="AH54" s="804"/>
      <c r="AI54" s="804"/>
      <c r="AJ54" s="804"/>
      <c r="AK54" s="804"/>
      <c r="AL54" s="473"/>
      <c r="AM54" s="804" t="s">
        <v>389</v>
      </c>
      <c r="AN54" s="804"/>
      <c r="AO54" s="804"/>
      <c r="AP54" s="804"/>
      <c r="AQ54" s="804"/>
      <c r="AR54" s="473"/>
      <c r="AS54" s="804"/>
      <c r="AT54" s="804"/>
      <c r="AU54" s="804"/>
      <c r="AV54" s="804"/>
      <c r="AW54" s="804"/>
      <c r="AX54" s="289"/>
      <c r="BC54" s="801"/>
      <c r="BD54" s="801"/>
      <c r="BE54" s="801"/>
      <c r="BF54" s="801"/>
      <c r="BG54" s="801"/>
      <c r="BH54" s="801"/>
      <c r="BI54" s="801"/>
      <c r="BJ54" s="801"/>
      <c r="BK54" s="801"/>
      <c r="BL54" s="801"/>
      <c r="BM54" s="801"/>
      <c r="BN54" s="801"/>
      <c r="BO54" s="801"/>
      <c r="BP54" s="801"/>
      <c r="BQ54" s="801"/>
      <c r="BR54" s="801"/>
      <c r="BS54" s="801"/>
    </row>
    <row r="55" spans="2:71" ht="8.85" customHeight="1">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2"/>
      <c r="AS55" s="472"/>
      <c r="AT55" s="472"/>
      <c r="AU55" s="472"/>
      <c r="AV55" s="472"/>
      <c r="AW55" s="472"/>
    </row>
    <row r="56" spans="2:71" ht="15">
      <c r="C56" s="802"/>
      <c r="D56" s="802"/>
      <c r="E56" s="802"/>
      <c r="F56" s="802"/>
      <c r="G56" s="802"/>
      <c r="H56" s="472"/>
      <c r="I56" s="802"/>
      <c r="J56" s="802"/>
      <c r="K56" s="802"/>
      <c r="L56" s="802"/>
      <c r="M56" s="802"/>
      <c r="N56" s="472"/>
      <c r="O56" s="802"/>
      <c r="P56" s="802"/>
      <c r="Q56" s="802"/>
      <c r="R56" s="802"/>
      <c r="S56" s="802"/>
      <c r="T56" s="472"/>
      <c r="U56" s="802"/>
      <c r="V56" s="802"/>
      <c r="W56" s="802"/>
      <c r="X56" s="802"/>
      <c r="Y56" s="802"/>
      <c r="Z56" s="472"/>
      <c r="AA56" s="802"/>
      <c r="AB56" s="802"/>
      <c r="AC56" s="802"/>
      <c r="AD56" s="802"/>
      <c r="AE56" s="802"/>
      <c r="AF56" s="472"/>
      <c r="AG56" s="802"/>
      <c r="AH56" s="802"/>
      <c r="AI56" s="802"/>
      <c r="AJ56" s="802"/>
      <c r="AK56" s="802"/>
      <c r="AL56" s="472"/>
      <c r="AM56" s="802"/>
      <c r="AN56" s="802"/>
      <c r="AO56" s="802"/>
      <c r="AP56" s="802"/>
      <c r="AQ56" s="802"/>
      <c r="AR56" s="472"/>
      <c r="AS56" s="802"/>
      <c r="AT56" s="802"/>
      <c r="AU56" s="802"/>
      <c r="AV56" s="802"/>
      <c r="AW56" s="802"/>
    </row>
    <row r="57" spans="2:71" ht="14.85" customHeight="1">
      <c r="C57" s="802"/>
      <c r="D57" s="802"/>
      <c r="E57" s="802"/>
      <c r="F57" s="802"/>
      <c r="G57" s="802"/>
      <c r="H57" s="472"/>
      <c r="I57" s="802"/>
      <c r="J57" s="802"/>
      <c r="K57" s="802"/>
      <c r="L57" s="802"/>
      <c r="M57" s="802"/>
      <c r="N57" s="472"/>
      <c r="O57" s="802"/>
      <c r="P57" s="802"/>
      <c r="Q57" s="802"/>
      <c r="R57" s="802"/>
      <c r="S57" s="802"/>
      <c r="T57" s="472"/>
      <c r="U57" s="802"/>
      <c r="V57" s="802"/>
      <c r="W57" s="802"/>
      <c r="X57" s="802"/>
      <c r="Y57" s="802"/>
      <c r="Z57" s="472"/>
      <c r="AA57" s="802"/>
      <c r="AB57" s="802"/>
      <c r="AC57" s="802"/>
      <c r="AD57" s="802"/>
      <c r="AE57" s="802"/>
      <c r="AF57" s="472"/>
      <c r="AG57" s="802"/>
      <c r="AH57" s="802"/>
      <c r="AI57" s="802"/>
      <c r="AJ57" s="802"/>
      <c r="AK57" s="802"/>
      <c r="AL57" s="472"/>
      <c r="AM57" s="802"/>
      <c r="AN57" s="802"/>
      <c r="AO57" s="802"/>
      <c r="AP57" s="802"/>
      <c r="AQ57" s="802"/>
      <c r="AR57" s="472"/>
      <c r="AS57" s="802"/>
      <c r="AT57" s="802"/>
      <c r="AU57" s="802"/>
      <c r="AV57" s="802"/>
      <c r="AW57" s="802"/>
    </row>
    <row r="58" spans="2:71" ht="14.85" customHeight="1">
      <c r="C58" s="802"/>
      <c r="D58" s="802"/>
      <c r="E58" s="802"/>
      <c r="F58" s="802"/>
      <c r="G58" s="802"/>
      <c r="H58" s="472"/>
      <c r="I58" s="802"/>
      <c r="J58" s="802"/>
      <c r="K58" s="802"/>
      <c r="L58" s="802"/>
      <c r="M58" s="802"/>
      <c r="N58" s="472"/>
      <c r="O58" s="802"/>
      <c r="P58" s="802"/>
      <c r="Q58" s="802"/>
      <c r="R58" s="802"/>
      <c r="S58" s="802"/>
      <c r="T58" s="472"/>
      <c r="U58" s="802"/>
      <c r="V58" s="802"/>
      <c r="W58" s="802"/>
      <c r="X58" s="802"/>
      <c r="Y58" s="802"/>
      <c r="Z58" s="472"/>
      <c r="AA58" s="802"/>
      <c r="AB58" s="802"/>
      <c r="AC58" s="802"/>
      <c r="AD58" s="802"/>
      <c r="AE58" s="802"/>
      <c r="AF58" s="472"/>
      <c r="AG58" s="802"/>
      <c r="AH58" s="802"/>
      <c r="AI58" s="802"/>
      <c r="AJ58" s="802"/>
      <c r="AK58" s="802"/>
      <c r="AL58" s="472"/>
      <c r="AM58" s="802"/>
      <c r="AN58" s="802"/>
      <c r="AO58" s="802"/>
      <c r="AP58" s="802"/>
      <c r="AQ58" s="802"/>
      <c r="AR58" s="472"/>
      <c r="AS58" s="802"/>
      <c r="AT58" s="802"/>
      <c r="AU58" s="802"/>
      <c r="AV58" s="802"/>
      <c r="AW58" s="802"/>
    </row>
    <row r="59" spans="2:71" ht="14.85" customHeight="1">
      <c r="C59" s="472"/>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4"/>
      <c r="AF59" s="475"/>
      <c r="AG59" s="472"/>
      <c r="AH59" s="472"/>
      <c r="AI59" s="472"/>
      <c r="AJ59" s="472"/>
      <c r="AK59" s="472"/>
      <c r="AL59" s="472"/>
      <c r="AM59" s="472"/>
      <c r="AN59" s="472"/>
      <c r="AO59" s="472"/>
      <c r="AP59" s="472"/>
      <c r="AQ59" s="472"/>
      <c r="AR59" s="472"/>
      <c r="AS59" s="472"/>
      <c r="AT59" s="472"/>
      <c r="AU59" s="472"/>
      <c r="AV59" s="472"/>
      <c r="AW59" s="472"/>
      <c r="BC59" s="800"/>
      <c r="BD59" s="800"/>
      <c r="BE59" s="800"/>
      <c r="BF59" s="800"/>
      <c r="BG59" s="800"/>
      <c r="BH59" s="800"/>
      <c r="BI59" s="800"/>
      <c r="BJ59" s="800"/>
      <c r="BK59" s="800"/>
      <c r="BL59" s="800"/>
      <c r="BM59" s="800"/>
      <c r="BN59" s="800"/>
      <c r="BO59" s="800"/>
      <c r="BP59" s="800"/>
      <c r="BQ59" s="800"/>
      <c r="BR59" s="800"/>
      <c r="BS59" s="800"/>
    </row>
    <row r="60" spans="2:71" ht="14.85" customHeight="1">
      <c r="Q60" s="799"/>
      <c r="R60" s="799"/>
      <c r="S60" s="799"/>
    </row>
    <row r="61" spans="2:71" ht="14.85" customHeight="1"/>
  </sheetData>
  <sheetProtection algorithmName="SHA-512" hashValue="2lsm6TWm1/eGdwlAm+m5UUnwiBxPdVN2KofLKBWL5coIsTX0HrVTzrHnMmj5ZJayuj49DC7lQeX+TrNdozSm7A==" saltValue="RkRPz37cgSD7aO5+DCgenw==" spinCount="100000" sheet="1" objects="1" scenarios="1" selectLockedCells="1"/>
  <mergeCells count="76">
    <mergeCell ref="BC37:BS37"/>
    <mergeCell ref="BC38:BS38"/>
    <mergeCell ref="AS34:AW36"/>
    <mergeCell ref="AM38:AQ38"/>
    <mergeCell ref="AS38:AW38"/>
    <mergeCell ref="Q60:S60"/>
    <mergeCell ref="AA34:AE36"/>
    <mergeCell ref="AG34:AK36"/>
    <mergeCell ref="AM34:AQ36"/>
    <mergeCell ref="BC44:BS44"/>
    <mergeCell ref="BC49:BS49"/>
    <mergeCell ref="BC43:BS43"/>
    <mergeCell ref="U34:Y36"/>
    <mergeCell ref="AG40:AK42"/>
    <mergeCell ref="AG38:AK38"/>
    <mergeCell ref="AS40:AW42"/>
    <mergeCell ref="AG44:AK44"/>
    <mergeCell ref="AM44:AQ44"/>
    <mergeCell ref="AS44:AW44"/>
    <mergeCell ref="AG46:AK48"/>
    <mergeCell ref="AM40:AQ42"/>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AM46:AQ48"/>
    <mergeCell ref="AS46:AW48"/>
    <mergeCell ref="B52:AX52"/>
    <mergeCell ref="AM54:AQ54"/>
    <mergeCell ref="I54:M54"/>
    <mergeCell ref="O54:S54"/>
    <mergeCell ref="U54:Y54"/>
    <mergeCell ref="AA54:AE54"/>
    <mergeCell ref="AG54:AK54"/>
    <mergeCell ref="C46:G48"/>
    <mergeCell ref="BC59:BS59"/>
    <mergeCell ref="BC54:BS54"/>
    <mergeCell ref="C56:G58"/>
    <mergeCell ref="I56:M58"/>
    <mergeCell ref="O56:S58"/>
    <mergeCell ref="U56:Y58"/>
    <mergeCell ref="AA56:AE58"/>
    <mergeCell ref="AG56:AK58"/>
    <mergeCell ref="AM56:AQ58"/>
    <mergeCell ref="AS56:AW58"/>
  </mergeCells>
  <hyperlinks>
    <hyperlink ref="AT2:AW3" location="Hlavní!A1" display="Hlavní!A1" xr:uid="{4DAF5A78-3AA6-4B93-8176-5C07A880EBBE}"/>
  </hyperlinks>
  <pageMargins left="0.7" right="0.7" top="0.78740157499999996" bottom="0.78740157499999996"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zoomScale="70" zoomScaleNormal="70" workbookViewId="0">
      <selection activeCell="AC2" sqref="AC2:AF3"/>
    </sheetView>
  </sheetViews>
  <sheetFormatPr defaultColWidth="0" defaultRowHeight="15" zeroHeight="1"/>
  <cols>
    <col min="1" max="28" width="8.5703125" style="1" customWidth="1"/>
    <col min="29" max="32" width="9.140625" style="1" customWidth="1"/>
    <col min="33" max="16384" width="9.140625" style="1" hidden="1"/>
  </cols>
  <sheetData>
    <row r="1" spans="1:32">
      <c r="A1" s="324"/>
      <c r="B1" s="324"/>
      <c r="C1" s="324"/>
      <c r="D1" s="324"/>
      <c r="E1" s="324"/>
      <c r="F1" s="324"/>
      <c r="G1" s="324"/>
      <c r="H1" s="324"/>
      <c r="I1" s="324"/>
      <c r="J1" s="324"/>
      <c r="K1" s="324"/>
      <c r="L1" s="324"/>
      <c r="M1" s="324"/>
      <c r="N1" s="324"/>
      <c r="O1" s="324"/>
      <c r="P1" s="324"/>
      <c r="Q1" s="324"/>
      <c r="R1" s="324"/>
      <c r="S1" s="324"/>
      <c r="T1" s="324"/>
      <c r="U1" s="324"/>
      <c r="V1" s="324"/>
    </row>
    <row r="2" spans="1:32" ht="20.25">
      <c r="A2" s="325"/>
      <c r="B2" s="325"/>
      <c r="C2" s="325"/>
      <c r="D2" s="325"/>
      <c r="E2" s="325"/>
      <c r="F2" s="325"/>
      <c r="G2" s="325"/>
      <c r="H2" s="325"/>
      <c r="I2" s="325"/>
      <c r="J2" s="325"/>
      <c r="K2" s="810" t="str">
        <f>'Translate&amp;Prices&amp;Logo'!$B$310</f>
        <v>Nákresy profilů a spoj. kování</v>
      </c>
      <c r="L2" s="810"/>
      <c r="M2" s="810"/>
      <c r="N2" s="810"/>
      <c r="O2" s="810"/>
      <c r="P2" s="810"/>
      <c r="Q2" s="810"/>
      <c r="R2" s="542"/>
      <c r="S2" s="542"/>
      <c r="T2" s="542"/>
      <c r="U2" s="325"/>
      <c r="V2" s="325"/>
      <c r="W2" s="270"/>
      <c r="X2" s="270"/>
      <c r="Y2" s="270"/>
      <c r="Z2" s="270"/>
      <c r="AA2" s="270"/>
      <c r="AB2" s="270"/>
      <c r="AC2" s="579" t="str">
        <f>'Translate&amp;Prices&amp;Logo'!$B$540</f>
        <v>Úvod</v>
      </c>
      <c r="AD2" s="580"/>
      <c r="AE2" s="580"/>
      <c r="AF2" s="580"/>
    </row>
    <row r="3" spans="1:32" ht="20.25">
      <c r="A3" s="325"/>
      <c r="B3" s="325"/>
      <c r="C3" s="325"/>
      <c r="D3" s="325"/>
      <c r="E3" s="325"/>
      <c r="F3" s="325"/>
      <c r="G3" s="325"/>
      <c r="H3" s="325"/>
      <c r="I3" s="325"/>
      <c r="J3" s="325"/>
      <c r="K3" s="810"/>
      <c r="L3" s="810"/>
      <c r="M3" s="810"/>
      <c r="N3" s="810"/>
      <c r="O3" s="810"/>
      <c r="P3" s="810"/>
      <c r="Q3" s="810"/>
      <c r="R3" s="542"/>
      <c r="S3" s="542"/>
      <c r="T3" s="542"/>
      <c r="U3" s="325"/>
      <c r="V3" s="325"/>
      <c r="W3" s="270"/>
      <c r="X3" s="270"/>
      <c r="Y3" s="270"/>
      <c r="Z3" s="270"/>
      <c r="AA3" s="270"/>
      <c r="AB3" s="270"/>
      <c r="AC3" s="579"/>
      <c r="AD3" s="580"/>
      <c r="AE3" s="580"/>
      <c r="AF3" s="580"/>
    </row>
    <row r="4" spans="1:32">
      <c r="A4" s="324"/>
      <c r="B4" s="324"/>
      <c r="C4" s="324"/>
      <c r="D4" s="324"/>
      <c r="E4" s="324"/>
      <c r="F4" s="324"/>
      <c r="G4" s="324"/>
      <c r="H4" s="324"/>
      <c r="I4" s="324"/>
    </row>
    <row r="5" spans="1:32">
      <c r="A5" s="324"/>
      <c r="B5" s="324"/>
      <c r="C5" s="324"/>
      <c r="D5" s="324"/>
      <c r="E5" s="324"/>
      <c r="F5" s="324"/>
      <c r="G5" s="324"/>
      <c r="H5" s="324"/>
      <c r="I5" s="324"/>
    </row>
    <row r="6" spans="1:32"/>
    <row r="7" spans="1:32"/>
    <row r="8" spans="1:32" s="146" customFormat="1" ht="18.600000000000001" customHeight="1">
      <c r="B8" s="807" t="str">
        <f>'Translate&amp;Prices&amp;Logo'!$B$233</f>
        <v>Úzký ALU rámeček</v>
      </c>
      <c r="C8" s="807"/>
      <c r="D8" s="807"/>
      <c r="E8" s="807"/>
      <c r="F8" s="807"/>
      <c r="G8" s="807"/>
      <c r="V8" s="809" t="str">
        <f>'Translate&amp;Prices&amp;Logo'!$B$316</f>
        <v>Nákresy profilů</v>
      </c>
      <c r="W8" s="809"/>
      <c r="X8" s="809"/>
      <c r="Y8" s="809"/>
      <c r="Z8" s="809"/>
      <c r="AA8" s="809"/>
      <c r="AB8" s="559"/>
      <c r="AC8" s="559"/>
    </row>
    <row r="9" spans="1:32"/>
    <row r="10" spans="1:32"/>
    <row r="11" spans="1:32">
      <c r="B11"/>
    </row>
    <row r="12" spans="1:32"/>
    <row r="13" spans="1:32"/>
    <row r="14" spans="1:32"/>
    <row r="15" spans="1:32"/>
    <row r="16" spans="1:32"/>
    <row r="17" spans="2:44"/>
    <row r="18" spans="2:44"/>
    <row r="19" spans="2:44" ht="21" customHeight="1">
      <c r="AA19" s="367"/>
      <c r="AR19" s="367"/>
    </row>
    <row r="20" spans="2:44" ht="14.85" customHeight="1">
      <c r="AA20" s="367"/>
      <c r="AR20" s="367"/>
    </row>
    <row r="21" spans="2:44" ht="14.85" customHeight="1"/>
    <row r="22" spans="2:44" ht="14.85" customHeight="1">
      <c r="B22" s="808" t="str">
        <f>'Translate&amp;Prices&amp;Logo'!$B$6</f>
        <v>BRW (elox.)</v>
      </c>
      <c r="C22" s="808"/>
      <c r="D22" s="808"/>
      <c r="F22" s="808" t="s">
        <v>2596</v>
      </c>
      <c r="G22" s="808"/>
      <c r="H22" s="808"/>
      <c r="J22" s="808" t="s">
        <v>2597</v>
      </c>
      <c r="K22" s="808"/>
      <c r="L22" s="808"/>
      <c r="N22" s="808" t="s">
        <v>2598</v>
      </c>
      <c r="O22" s="808"/>
      <c r="P22" s="808"/>
      <c r="R22" s="808" t="s">
        <v>3540</v>
      </c>
      <c r="S22" s="808"/>
      <c r="T22" s="808"/>
    </row>
    <row r="23" spans="2:44" ht="21" customHeight="1">
      <c r="B23" s="808"/>
      <c r="C23" s="808"/>
      <c r="D23" s="808"/>
      <c r="F23" s="808"/>
      <c r="G23" s="808"/>
      <c r="H23" s="808"/>
      <c r="J23" s="808"/>
      <c r="K23" s="808"/>
      <c r="L23" s="808"/>
      <c r="N23" s="808"/>
      <c r="O23" s="808"/>
      <c r="P23" s="808"/>
      <c r="R23" s="808"/>
      <c r="S23" s="808"/>
      <c r="T23" s="808"/>
    </row>
    <row r="24" spans="2:44" ht="21" customHeight="1">
      <c r="B24" s="551"/>
      <c r="C24" s="551"/>
      <c r="D24" s="551"/>
      <c r="F24" s="551"/>
      <c r="G24" s="551"/>
      <c r="H24" s="551"/>
      <c r="J24" s="551"/>
      <c r="K24" s="551"/>
      <c r="L24" s="551"/>
      <c r="N24" s="551"/>
      <c r="O24" s="551"/>
      <c r="P24" s="551"/>
      <c r="R24" s="551"/>
      <c r="S24" s="551"/>
      <c r="T24" s="551"/>
    </row>
    <row r="25" spans="2:44" ht="21" customHeight="1">
      <c r="B25" s="551"/>
      <c r="C25" s="551"/>
      <c r="D25" s="551"/>
      <c r="F25" s="551"/>
      <c r="G25" s="551"/>
      <c r="H25" s="551"/>
      <c r="J25" s="551"/>
      <c r="K25" s="551"/>
      <c r="L25" s="551"/>
      <c r="N25" s="551"/>
      <c r="O25" s="551"/>
      <c r="P25" s="551"/>
      <c r="R25" s="551"/>
      <c r="S25" s="551"/>
      <c r="T25" s="551"/>
    </row>
    <row r="26" spans="2:44" ht="21" customHeight="1">
      <c r="B26" s="551"/>
      <c r="C26" s="551"/>
      <c r="D26" s="551"/>
      <c r="F26" s="551"/>
      <c r="G26" s="551"/>
      <c r="H26" s="551"/>
      <c r="J26" s="551"/>
      <c r="K26" s="551"/>
      <c r="L26" s="551"/>
      <c r="N26" s="551"/>
      <c r="O26" s="551"/>
      <c r="P26" s="551"/>
      <c r="R26" s="551"/>
      <c r="S26" s="551"/>
      <c r="T26" s="551"/>
    </row>
    <row r="27" spans="2:44" ht="21" customHeight="1">
      <c r="B27" s="551"/>
      <c r="C27" s="551"/>
      <c r="D27" s="551"/>
      <c r="F27" s="551"/>
      <c r="G27" s="551"/>
      <c r="H27" s="551"/>
      <c r="J27" s="551"/>
      <c r="K27" s="551"/>
      <c r="L27" s="551"/>
      <c r="N27" s="551"/>
      <c r="O27" s="551"/>
      <c r="P27" s="551"/>
      <c r="R27" s="551"/>
      <c r="S27" s="551"/>
      <c r="T27" s="551"/>
    </row>
    <row r="28" spans="2:44" ht="21" customHeight="1">
      <c r="B28" s="551"/>
      <c r="C28" s="551"/>
      <c r="D28" s="551"/>
      <c r="F28" s="551"/>
      <c r="G28" s="551"/>
      <c r="H28" s="551"/>
      <c r="J28" s="551"/>
      <c r="K28" s="551"/>
      <c r="L28" s="551"/>
      <c r="N28" s="551"/>
      <c r="O28" s="551"/>
      <c r="P28" s="551"/>
      <c r="R28" s="551"/>
      <c r="S28" s="551"/>
      <c r="T28" s="551"/>
    </row>
    <row r="29" spans="2:44" ht="21" customHeight="1">
      <c r="B29" s="551"/>
      <c r="C29" s="551"/>
      <c r="D29" s="551"/>
      <c r="F29" s="551"/>
      <c r="G29" s="551"/>
      <c r="H29" s="551"/>
      <c r="J29" s="551"/>
      <c r="K29" s="551"/>
      <c r="L29" s="551"/>
      <c r="N29" s="551"/>
      <c r="O29" s="551"/>
      <c r="P29" s="551"/>
      <c r="R29" s="551"/>
      <c r="S29" s="551"/>
      <c r="T29" s="551"/>
    </row>
    <row r="30" spans="2:44" ht="21" customHeight="1">
      <c r="B30" s="551"/>
      <c r="C30" s="551"/>
      <c r="D30" s="551"/>
      <c r="F30" s="551"/>
      <c r="G30" s="551"/>
      <c r="H30" s="551"/>
      <c r="J30" s="551"/>
      <c r="K30" s="551"/>
      <c r="L30" s="551"/>
      <c r="M30" s="287"/>
      <c r="N30" s="551"/>
      <c r="O30" s="551"/>
      <c r="P30" s="551"/>
      <c r="R30" s="551"/>
      <c r="S30" s="551"/>
      <c r="T30" s="551"/>
    </row>
    <row r="31" spans="2:44" ht="21" customHeight="1">
      <c r="B31" s="551"/>
      <c r="C31" s="551"/>
      <c r="D31" s="551"/>
      <c r="F31" s="551"/>
      <c r="G31" s="551"/>
      <c r="H31" s="551"/>
      <c r="J31" s="551"/>
      <c r="K31" s="551"/>
      <c r="L31" s="551"/>
      <c r="N31" s="551"/>
      <c r="O31" s="551"/>
      <c r="P31" s="551"/>
      <c r="R31" s="551"/>
      <c r="S31" s="551"/>
      <c r="T31" s="551"/>
    </row>
    <row r="32" spans="2:44" ht="21" customHeight="1">
      <c r="B32" s="551"/>
      <c r="C32" s="551"/>
      <c r="D32" s="551"/>
      <c r="F32" s="551"/>
      <c r="G32" s="551"/>
      <c r="H32" s="551"/>
      <c r="J32" s="551"/>
      <c r="K32" s="551"/>
      <c r="L32" s="551"/>
      <c r="N32" s="551"/>
      <c r="O32" s="551"/>
      <c r="P32" s="551"/>
      <c r="R32" s="551"/>
      <c r="S32" s="551"/>
      <c r="T32" s="551"/>
    </row>
    <row r="33" spans="1:23" ht="21" customHeight="1">
      <c r="B33" s="808" t="s">
        <v>3590</v>
      </c>
      <c r="C33" s="808"/>
      <c r="D33" s="808"/>
      <c r="F33" s="808" t="s">
        <v>3591</v>
      </c>
      <c r="G33" s="808"/>
      <c r="H33" s="808"/>
      <c r="J33" s="551"/>
      <c r="K33" s="551"/>
      <c r="L33" s="551"/>
      <c r="N33" s="551"/>
      <c r="O33" s="551"/>
      <c r="P33" s="551"/>
      <c r="R33" s="551"/>
      <c r="S33" s="551"/>
      <c r="T33" s="551"/>
    </row>
    <row r="34" spans="1:23" ht="15" customHeight="1">
      <c r="B34" s="808"/>
      <c r="C34" s="808"/>
      <c r="D34" s="808"/>
      <c r="F34" s="808"/>
      <c r="G34" s="808"/>
      <c r="H34" s="808"/>
    </row>
    <row r="35" spans="1:23">
      <c r="I35"/>
    </row>
    <row r="36" spans="1:23" ht="14.85" customHeight="1">
      <c r="B36" s="425"/>
      <c r="C36" s="425"/>
      <c r="D36" s="425"/>
      <c r="E36" s="425"/>
      <c r="G36" s="425"/>
      <c r="H36" s="425"/>
      <c r="I36" s="425"/>
      <c r="J36" s="425"/>
      <c r="L36" s="425"/>
      <c r="M36" s="425"/>
      <c r="N36" s="425"/>
      <c r="O36" s="425"/>
      <c r="Q36" s="425"/>
      <c r="R36" s="425"/>
      <c r="S36" s="425"/>
      <c r="T36" s="425"/>
      <c r="U36" s="425"/>
      <c r="V36" s="425"/>
      <c r="W36" s="425"/>
    </row>
    <row r="37" spans="1:23" s="146" customFormat="1" ht="18.600000000000001" customHeight="1">
      <c r="A37" s="1"/>
      <c r="B37" s="807" t="str">
        <f>'Translate&amp;Prices&amp;Logo'!$B$234</f>
        <v>Široký ALU rámeček</v>
      </c>
      <c r="C37" s="807"/>
      <c r="D37" s="807"/>
      <c r="E37" s="807"/>
      <c r="F37" s="807"/>
      <c r="G37" s="807"/>
      <c r="H37" s="425"/>
      <c r="I37" s="425"/>
      <c r="J37" s="425"/>
      <c r="L37" s="425"/>
      <c r="M37" s="425"/>
      <c r="N37" s="425"/>
      <c r="O37" s="425"/>
      <c r="Q37" s="425"/>
      <c r="R37" s="425"/>
      <c r="S37" s="425"/>
      <c r="T37" s="425"/>
      <c r="U37" s="425"/>
      <c r="V37" s="425"/>
      <c r="W37" s="425"/>
    </row>
    <row r="38" spans="1:23" ht="14.85" customHeight="1"/>
    <row r="39" spans="1:23"/>
    <row r="40" spans="1:23">
      <c r="B40"/>
    </row>
    <row r="41" spans="1:23"/>
    <row r="42" spans="1:23">
      <c r="A42" s="146"/>
    </row>
    <row r="43" spans="1:23"/>
    <row r="44" spans="1:23"/>
    <row r="45" spans="1:23"/>
    <row r="46" spans="1:23"/>
    <row r="47" spans="1:23"/>
    <row r="48" spans="1:23"/>
    <row r="49" spans="2:43"/>
    <row r="50" spans="2:43"/>
    <row r="51" spans="2:43">
      <c r="B51" s="808" t="s">
        <v>2599</v>
      </c>
      <c r="C51" s="808"/>
      <c r="D51" s="808"/>
      <c r="F51" s="808" t="s">
        <v>2600</v>
      </c>
      <c r="G51" s="808"/>
      <c r="H51" s="808"/>
      <c r="J51" s="808" t="s">
        <v>2601</v>
      </c>
      <c r="K51" s="808"/>
      <c r="L51" s="808"/>
      <c r="N51" s="808" t="s">
        <v>2602</v>
      </c>
      <c r="O51" s="808"/>
      <c r="P51" s="808"/>
    </row>
    <row r="52" spans="2:43">
      <c r="B52" s="808"/>
      <c r="C52" s="808"/>
      <c r="D52" s="808"/>
      <c r="F52" s="808"/>
      <c r="G52" s="808"/>
      <c r="H52" s="808"/>
      <c r="J52" s="808"/>
      <c r="K52" s="808"/>
      <c r="L52" s="808"/>
      <c r="N52" s="808"/>
      <c r="O52" s="808"/>
      <c r="P52" s="808"/>
    </row>
    <row r="53" spans="2:43" ht="18.75">
      <c r="V53" s="807" t="str">
        <f>'Translate&amp;Prices&amp;Logo'!$B$294</f>
        <v>Minimální vzdálenost umístění závěsů</v>
      </c>
      <c r="W53" s="807"/>
      <c r="X53" s="807"/>
      <c r="Y53" s="807"/>
      <c r="Z53" s="807"/>
      <c r="AA53" s="807"/>
      <c r="AF53" s="349"/>
      <c r="AQ53" s="349"/>
    </row>
    <row r="54" spans="2:43">
      <c r="I54"/>
    </row>
    <row r="55" spans="2:43">
      <c r="AF55" s="349"/>
      <c r="AQ55" s="349"/>
    </row>
    <row r="56" spans="2:43">
      <c r="B56"/>
    </row>
    <row r="57" spans="2:43">
      <c r="AC57" s="349"/>
      <c r="AD57" s="349"/>
      <c r="AE57" s="349"/>
      <c r="AF57" s="349"/>
      <c r="AQ57" s="349"/>
    </row>
    <row r="58" spans="2:43"/>
    <row r="59" spans="2:43">
      <c r="I59"/>
      <c r="AC59" s="349"/>
      <c r="AD59" s="349"/>
      <c r="AE59" s="349"/>
      <c r="AF59" s="349"/>
      <c r="AQ59" s="349"/>
    </row>
    <row r="60" spans="2:43"/>
    <row r="61" spans="2:43">
      <c r="AC61" s="349"/>
      <c r="AD61" s="349"/>
      <c r="AE61" s="349"/>
      <c r="AF61" s="349"/>
      <c r="AQ61" s="349"/>
    </row>
    <row r="62" spans="2:43"/>
    <row r="63" spans="2:43">
      <c r="C63"/>
      <c r="AC63" s="349"/>
      <c r="AD63" s="349"/>
      <c r="AE63" s="349"/>
      <c r="AF63" s="349"/>
      <c r="AQ63" s="349"/>
    </row>
    <row r="64" spans="2:43"/>
    <row r="65" spans="2:16"/>
    <row r="66" spans="2:16"/>
    <row r="67" spans="2:16">
      <c r="B67" s="808" t="s">
        <v>2603</v>
      </c>
      <c r="C67" s="808"/>
      <c r="D67" s="808"/>
      <c r="F67" s="808" t="s">
        <v>2604</v>
      </c>
      <c r="G67" s="808"/>
      <c r="H67" s="808"/>
      <c r="J67" s="808" t="s">
        <v>2605</v>
      </c>
      <c r="K67" s="808"/>
      <c r="L67" s="808"/>
      <c r="N67" s="808"/>
      <c r="O67" s="808"/>
      <c r="P67" s="808"/>
    </row>
    <row r="68" spans="2:16">
      <c r="B68" s="808"/>
      <c r="C68" s="808"/>
      <c r="D68" s="808"/>
      <c r="F68" s="808"/>
      <c r="G68" s="808"/>
      <c r="H68" s="808"/>
      <c r="J68" s="808"/>
      <c r="K68" s="808"/>
      <c r="L68" s="808"/>
      <c r="N68" s="808"/>
      <c r="O68" s="808"/>
      <c r="P68" s="808"/>
    </row>
    <row r="69" spans="2:16"/>
    <row r="70" spans="2:16"/>
    <row r="71" spans="2:16"/>
    <row r="72" spans="2:16" ht="18.75">
      <c r="B72" s="811" t="str">
        <f>'Translate&amp;Prices&amp;Logo'!$B$542</f>
        <v>Kombinace 2 profilů</v>
      </c>
      <c r="C72" s="811"/>
      <c r="D72" s="811"/>
      <c r="E72" s="811"/>
      <c r="F72" s="811"/>
      <c r="G72" s="811"/>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11" t="str">
        <f>'Translate&amp;Prices&amp;Logo'!$B$543</f>
        <v>Dělící lišty</v>
      </c>
      <c r="C92" s="811"/>
      <c r="D92" s="811"/>
      <c r="E92" s="811"/>
      <c r="F92" s="811"/>
      <c r="G92" s="811"/>
    </row>
    <row r="93" spans="2:7"/>
    <row r="94" spans="2:7"/>
    <row r="95" spans="2:7"/>
    <row r="96" spans="2:7"/>
    <row r="97"/>
    <row r="98"/>
    <row r="99"/>
    <row r="100"/>
    <row r="101"/>
    <row r="102"/>
    <row r="103"/>
    <row r="104"/>
    <row r="105"/>
    <row r="106"/>
    <row r="107"/>
    <row r="108"/>
    <row r="109"/>
    <row r="110"/>
    <row r="111"/>
  </sheetData>
  <sheetProtection algorithmName="SHA-512" hashValue="nS3tk5regEUR3JtwrNLIYisOVa8UTco1kU+vlAOHonZeMsVinvKukML9mgHXd+JRqKGniaJKepXvJxf0LkkO3g==" saltValue="9Wmyhd/RVpOoAqhRFysQJg==" spinCount="100000" sheet="1" objects="1" scenarios="1" selectLockedCells="1"/>
  <mergeCells count="23">
    <mergeCell ref="B92:G92"/>
    <mergeCell ref="B33:D34"/>
    <mergeCell ref="F33:H34"/>
    <mergeCell ref="B72:G72"/>
    <mergeCell ref="J51:L52"/>
    <mergeCell ref="J67:L68"/>
    <mergeCell ref="B67:D68"/>
    <mergeCell ref="F67:H68"/>
    <mergeCell ref="AC2:AF3"/>
    <mergeCell ref="N67:P68"/>
    <mergeCell ref="N51:P52"/>
    <mergeCell ref="R22:T23"/>
    <mergeCell ref="K2:Q3"/>
    <mergeCell ref="B8:G8"/>
    <mergeCell ref="N22:P23"/>
    <mergeCell ref="B22:D23"/>
    <mergeCell ref="V53:AA53"/>
    <mergeCell ref="F22:H23"/>
    <mergeCell ref="V8:AA8"/>
    <mergeCell ref="J22:L23"/>
    <mergeCell ref="F51:H52"/>
    <mergeCell ref="B51:D52"/>
    <mergeCell ref="B37:G37"/>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B224"/>
  <sheetViews>
    <sheetView showGridLines="0" topLeftCell="A182" zoomScale="85" zoomScaleNormal="85" workbookViewId="0">
      <selection activeCell="AC18" sqref="AC18:AO18"/>
    </sheetView>
  </sheetViews>
  <sheetFormatPr defaultColWidth="0" defaultRowHeight="14.85" customHeight="1"/>
  <cols>
    <col min="1" max="11" width="4.42578125" style="1" customWidth="1"/>
    <col min="12" max="15" width="5.5703125" style="1" customWidth="1"/>
    <col min="16" max="22" width="4.42578125" style="1" customWidth="1"/>
    <col min="23" max="27" width="6.140625" style="1" customWidth="1"/>
    <col min="28" max="30" width="6.42578125" style="1" customWidth="1"/>
    <col min="31" max="31" width="6.42578125" style="212" customWidth="1"/>
    <col min="32" max="32" width="6.42578125" style="160" customWidth="1"/>
    <col min="33" max="37" width="6.140625" style="1" customWidth="1"/>
    <col min="38" max="41" width="6.42578125" style="1" customWidth="1"/>
    <col min="42" max="42" width="4.42578125" style="1" customWidth="1"/>
    <col min="43" max="44" width="8.5703125" style="1" customWidth="1"/>
    <col min="45" max="52" width="8.5703125" style="1" hidden="1" customWidth="1"/>
    <col min="53" max="54" width="8.5703125" style="21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80" width="8.5703125" style="1" hidden="1" customWidth="1"/>
    <col min="81" max="16384" width="8.5703125" style="1" hidden="1"/>
  </cols>
  <sheetData>
    <row r="1" spans="1:80" ht="15">
      <c r="A1" s="324"/>
      <c r="B1" s="324"/>
      <c r="C1" s="324"/>
      <c r="D1" s="324"/>
      <c r="E1" s="324"/>
      <c r="F1" s="324"/>
      <c r="G1" s="324"/>
      <c r="H1" s="324"/>
      <c r="I1" s="324"/>
      <c r="J1" s="324"/>
      <c r="K1" s="324"/>
      <c r="L1" s="324"/>
      <c r="M1" s="324"/>
      <c r="N1" s="324"/>
      <c r="O1" s="324"/>
      <c r="P1" s="324"/>
      <c r="Q1" s="324"/>
      <c r="R1" s="324"/>
      <c r="S1" s="324"/>
      <c r="T1" s="324"/>
      <c r="U1" s="324"/>
      <c r="V1" s="324"/>
      <c r="AO1" s="798">
        <f ca="1">TODAY()</f>
        <v>45602</v>
      </c>
      <c r="AP1" s="799"/>
      <c r="AQ1" s="799"/>
      <c r="AR1" s="799"/>
    </row>
    <row r="2" spans="1:80" ht="14.85" customHeight="1">
      <c r="A2" s="325"/>
      <c r="B2" s="325"/>
      <c r="C2" s="325"/>
      <c r="D2" s="325"/>
      <c r="E2" s="325"/>
      <c r="F2" s="325"/>
      <c r="G2" s="325"/>
      <c r="H2" s="325"/>
      <c r="I2" s="325"/>
      <c r="J2" s="325"/>
      <c r="K2" s="325"/>
      <c r="L2" s="325"/>
      <c r="M2" s="325"/>
      <c r="N2" s="325"/>
      <c r="O2" s="325"/>
      <c r="P2" s="325"/>
      <c r="Q2" s="325"/>
      <c r="R2" s="325"/>
      <c r="S2" s="325"/>
      <c r="T2" s="270"/>
      <c r="U2" s="270"/>
      <c r="V2" s="270"/>
      <c r="W2" s="270"/>
      <c r="X2" s="270"/>
      <c r="Y2" s="270"/>
      <c r="Z2" s="270"/>
      <c r="AA2" s="270"/>
      <c r="AB2" s="270"/>
      <c r="AC2" s="270"/>
      <c r="AD2" s="270"/>
      <c r="AE2" s="271"/>
      <c r="AF2" s="272"/>
      <c r="AG2" s="270"/>
      <c r="AH2" s="270"/>
      <c r="AI2" s="270"/>
      <c r="AJ2" s="270"/>
      <c r="AK2" s="270"/>
      <c r="AL2" s="270"/>
      <c r="AM2" s="270"/>
      <c r="AN2" s="579"/>
      <c r="AO2" s="580"/>
      <c r="AP2" s="580"/>
      <c r="AQ2" s="580"/>
      <c r="AR2" s="580"/>
    </row>
    <row r="3" spans="1:80" ht="14.85" customHeight="1">
      <c r="A3" s="325"/>
      <c r="B3" s="325"/>
      <c r="C3" s="325"/>
      <c r="D3" s="325"/>
      <c r="E3" s="325"/>
      <c r="F3" s="325"/>
      <c r="G3" s="325"/>
      <c r="H3" s="325"/>
      <c r="I3" s="325"/>
      <c r="J3" s="325"/>
      <c r="K3" s="325"/>
      <c r="L3" s="325"/>
      <c r="M3" s="325"/>
      <c r="N3" s="325"/>
      <c r="O3" s="325"/>
      <c r="P3" s="325"/>
      <c r="Q3" s="325"/>
      <c r="R3" s="325"/>
      <c r="S3" s="325"/>
      <c r="T3" s="270"/>
      <c r="U3" s="270"/>
      <c r="V3" s="270"/>
      <c r="W3" s="270"/>
      <c r="X3" s="270"/>
      <c r="Y3" s="270"/>
      <c r="Z3" s="270"/>
      <c r="AA3" s="270"/>
      <c r="AB3" s="270"/>
      <c r="AC3" s="270"/>
      <c r="AD3" s="270"/>
      <c r="AE3" s="270"/>
      <c r="AF3" s="270"/>
      <c r="AG3" s="270"/>
      <c r="AH3" s="270"/>
      <c r="AI3" s="270"/>
      <c r="AJ3" s="270"/>
      <c r="AK3" s="270"/>
      <c r="AL3" s="270"/>
      <c r="AM3" s="270"/>
      <c r="AN3" s="579"/>
      <c r="AO3" s="580"/>
      <c r="AP3" s="580"/>
      <c r="AQ3" s="580"/>
      <c r="AR3" s="580"/>
    </row>
    <row r="4" spans="1:80" ht="14.85" customHeight="1">
      <c r="X4" s="820">
        <f>SUM(Ram_1!$L$30,Ram_2!$L$30,Ram_3!$L$30,Ram_4!$L$30,Ram_5!$L$30,Ram_6!$L$30)</f>
        <v>0</v>
      </c>
      <c r="Y4" s="820"/>
      <c r="Z4" s="820"/>
      <c r="AA4" s="820"/>
      <c r="AB4" s="820"/>
      <c r="AC4" s="820"/>
      <c r="AD4" s="820"/>
      <c r="AE4" s="820"/>
      <c r="AF4" s="836" t="str">
        <f>VLOOKUP('Translate&amp;Prices&amp;Logo'!D1,kombinace_1!$EV$1:$EW$5,2,0)</f>
        <v>Kč</v>
      </c>
      <c r="AG4" s="448"/>
      <c r="AH4" s="448"/>
      <c r="AI4" s="448"/>
      <c r="AJ4" s="448" t="b">
        <v>1</v>
      </c>
      <c r="AK4" s="448"/>
      <c r="AL4" s="448"/>
      <c r="AM4" s="448"/>
      <c r="AN4" s="449"/>
      <c r="AO4" s="448"/>
      <c r="AP4" s="448"/>
      <c r="AQ4" s="448"/>
    </row>
    <row r="5" spans="1:80" ht="14.85" customHeight="1">
      <c r="Q5" s="289"/>
      <c r="R5" s="289"/>
      <c r="S5" s="289"/>
      <c r="T5" s="289"/>
      <c r="U5" s="289"/>
      <c r="V5" s="289"/>
      <c r="W5" s="289"/>
      <c r="X5" s="820"/>
      <c r="Y5" s="820"/>
      <c r="Z5" s="820"/>
      <c r="AA5" s="820"/>
      <c r="AB5" s="820"/>
      <c r="AC5" s="820"/>
      <c r="AD5" s="820"/>
      <c r="AE5" s="820"/>
      <c r="AF5" s="836"/>
      <c r="AG5" s="448"/>
      <c r="AH5" s="448"/>
      <c r="AI5" s="289"/>
      <c r="AJ5" s="289"/>
      <c r="AL5" s="308"/>
      <c r="AM5" s="308"/>
      <c r="AN5" s="308"/>
      <c r="AO5" s="308"/>
    </row>
    <row r="6" spans="1:80" ht="14.85" customHeight="1">
      <c r="L6" s="308"/>
      <c r="M6" s="308"/>
      <c r="N6" s="308"/>
      <c r="O6" s="308"/>
      <c r="Q6" s="289"/>
      <c r="R6" s="289"/>
      <c r="S6" s="289"/>
      <c r="T6" s="289"/>
      <c r="U6" s="289"/>
      <c r="V6" s="289"/>
      <c r="W6" s="289"/>
      <c r="Y6" s="308"/>
      <c r="Z6" s="308"/>
      <c r="AA6" s="308"/>
      <c r="AB6" s="308"/>
      <c r="AD6" s="289"/>
      <c r="AE6" s="289"/>
      <c r="AF6" s="289"/>
      <c r="AG6" s="289"/>
      <c r="AH6" s="289"/>
      <c r="AI6" s="289"/>
      <c r="AJ6" s="289"/>
      <c r="AL6" s="433"/>
      <c r="AM6" s="434"/>
      <c r="AN6" s="434"/>
      <c r="AO6" s="434"/>
    </row>
    <row r="7" spans="1:80" ht="14.85" customHeight="1">
      <c r="L7" s="308"/>
      <c r="M7" s="308"/>
      <c r="N7" s="308"/>
      <c r="O7" s="308"/>
      <c r="Q7" s="289"/>
      <c r="R7" s="289"/>
      <c r="S7" s="289"/>
      <c r="T7" s="289"/>
      <c r="U7" s="289"/>
      <c r="V7" s="289"/>
      <c r="W7" s="289"/>
      <c r="Y7" s="308"/>
      <c r="Z7" s="308"/>
      <c r="AA7" s="308"/>
      <c r="AB7" s="308"/>
      <c r="AD7" s="289"/>
      <c r="AE7" s="289"/>
      <c r="AF7" s="289"/>
      <c r="AG7" s="289"/>
      <c r="AH7" s="289"/>
      <c r="AI7" s="289"/>
      <c r="AJ7" s="289"/>
      <c r="AL7" s="434"/>
      <c r="AM7" s="434"/>
      <c r="AN7" s="434"/>
      <c r="AO7" s="434"/>
    </row>
    <row r="8" spans="1:80" ht="13.35" customHeight="1" thickBot="1"/>
    <row r="9" spans="1:80" ht="35.1" customHeight="1" thickBot="1">
      <c r="J9" s="432"/>
      <c r="K9" s="432"/>
      <c r="L9" s="432"/>
      <c r="M9" s="432"/>
      <c r="N9" s="432"/>
      <c r="O9" s="432"/>
      <c r="P9" s="432"/>
      <c r="Q9" s="432"/>
      <c r="R9" s="432"/>
      <c r="S9" s="432"/>
      <c r="T9" s="432"/>
      <c r="U9" s="432"/>
      <c r="V9" s="432"/>
      <c r="W9" s="818" t="str">
        <f>'Translate&amp;Prices&amp;Logo'!$O$256</f>
        <v>Numer zamówienia</v>
      </c>
      <c r="X9" s="818"/>
      <c r="Y9" s="818"/>
      <c r="Z9" s="818"/>
      <c r="AA9" s="818"/>
      <c r="AB9" s="366"/>
      <c r="AC9" s="815"/>
      <c r="AD9" s="816"/>
      <c r="AE9" s="816"/>
      <c r="AF9" s="816"/>
      <c r="AG9" s="816"/>
      <c r="AH9" s="816"/>
      <c r="AI9" s="816"/>
      <c r="AJ9" s="816"/>
      <c r="AK9" s="816"/>
      <c r="AL9" s="816"/>
      <c r="AM9" s="816"/>
      <c r="AN9" s="816"/>
      <c r="AO9" s="817"/>
      <c r="AR9" s="841" t="s">
        <v>2830</v>
      </c>
    </row>
    <row r="10" spans="1:80" ht="16.350000000000001" customHeight="1">
      <c r="W10" s="819" t="str">
        <f>'Translate&amp;Prices&amp;Logo'!$O$542</f>
        <v>Połączenie 2 profili</v>
      </c>
      <c r="X10" s="819"/>
      <c r="Y10" s="819"/>
      <c r="Z10" s="819"/>
      <c r="AA10" s="819"/>
      <c r="AB10" s="366"/>
      <c r="AC10" s="842" t="str">
        <f>IF(kombinace_1!$H$1=TRUE,"Tak","Nie")</f>
        <v>Nie</v>
      </c>
      <c r="AD10" s="842"/>
      <c r="AE10" s="842"/>
      <c r="AF10" s="842"/>
      <c r="AG10" s="842"/>
      <c r="AH10" s="842"/>
      <c r="AI10" s="842"/>
      <c r="AJ10" s="842"/>
      <c r="AK10" s="842"/>
      <c r="AL10" s="842"/>
      <c r="AM10" s="842"/>
      <c r="AN10" s="842"/>
      <c r="AO10" s="842"/>
      <c r="AR10" s="841"/>
    </row>
    <row r="11" spans="1:80" ht="16.350000000000001" customHeight="1">
      <c r="W11" s="819" t="str">
        <f>'Translate&amp;Prices&amp;Logo'!$O$172</f>
        <v>Rodzaj profilu</v>
      </c>
      <c r="X11" s="819"/>
      <c r="Y11" s="819"/>
      <c r="Z11" s="819"/>
      <c r="AA11" s="819"/>
      <c r="AB11" s="366"/>
      <c r="AC11" s="814">
        <f>IFERROR(VLOOKUP(Ram_1!$H$8,kombinace_1!DW:DY,2,0),0)</f>
        <v>0</v>
      </c>
      <c r="AD11" s="814"/>
      <c r="AE11" s="814"/>
      <c r="AF11" s="814"/>
      <c r="AG11" s="814"/>
      <c r="AH11" s="814"/>
      <c r="AI11" s="814"/>
      <c r="AJ11" s="814"/>
      <c r="AK11" s="814"/>
      <c r="AL11" s="814"/>
      <c r="AM11" s="814"/>
      <c r="AN11" s="814"/>
      <c r="AO11" s="814"/>
      <c r="AR11" s="841"/>
    </row>
    <row r="12" spans="1:80" ht="16.350000000000001" customHeight="1">
      <c r="W12" s="819" t="str">
        <f>'Translate&amp;Prices&amp;Logo'!$O$543</f>
        <v>Szprosy</v>
      </c>
      <c r="X12" s="819"/>
      <c r="Y12" s="819"/>
      <c r="Z12" s="819"/>
      <c r="AA12" s="819"/>
      <c r="AB12" s="366"/>
      <c r="AC12" s="814" t="str">
        <f t="array" ref="AC12">IFERROR(VLOOKUP(Ram_1!$AU$10,AU12:AV15,2,0),Nie)</f>
        <v>Nie</v>
      </c>
      <c r="AD12" s="814"/>
      <c r="AE12" s="814"/>
      <c r="AF12" s="814"/>
      <c r="AG12" s="814"/>
      <c r="AH12" s="814"/>
      <c r="AI12" s="814"/>
      <c r="AJ12" s="814"/>
      <c r="AK12" s="814"/>
      <c r="AL12" s="814"/>
      <c r="AM12" s="814"/>
      <c r="AN12" s="814"/>
      <c r="AO12" s="814"/>
      <c r="AR12" s="841"/>
      <c r="AU12">
        <v>0</v>
      </c>
      <c r="AV12" t="str">
        <f>'Translate&amp;Prices&amp;Logo'!$O$557</f>
        <v>Nie</v>
      </c>
      <c r="AZ12">
        <v>2</v>
      </c>
      <c r="BA12" t="str">
        <f>'Translate&amp;Prices&amp;Logo'!$O$551</f>
        <v>Zawiasy</v>
      </c>
      <c r="BD12" s="1" t="s">
        <v>125</v>
      </c>
      <c r="BE12" s="1" t="s">
        <v>485</v>
      </c>
      <c r="BI12" s="1" t="s">
        <v>98</v>
      </c>
      <c r="BJ12" s="1" t="s">
        <v>479</v>
      </c>
      <c r="BM12" s="1" t="s">
        <v>245</v>
      </c>
      <c r="BN12" s="1" t="s">
        <v>519</v>
      </c>
      <c r="BS12" s="1" t="s">
        <v>251</v>
      </c>
      <c r="BT12" s="1" t="s">
        <v>2210</v>
      </c>
      <c r="BX12" s="1">
        <v>1</v>
      </c>
      <c r="BY12" s="1" t="str">
        <f>'Translate&amp;Prices&amp;Logo'!$O$100</f>
        <v>Bez modyfikacji</v>
      </c>
      <c r="CA12" t="s">
        <v>2007</v>
      </c>
      <c r="CB12" t="s">
        <v>2479</v>
      </c>
    </row>
    <row r="13" spans="1:80" ht="16.350000000000001" customHeight="1">
      <c r="W13" s="437"/>
      <c r="X13" s="437"/>
      <c r="Y13" s="437"/>
      <c r="Z13" s="437"/>
      <c r="AA13" s="437"/>
      <c r="AB13" s="366"/>
      <c r="AC13" s="843" t="b">
        <f>IF(OR(Ram_1!$AU$10=1,Ram_1!$AU$10=3),'Translate&amp;Prices&amp;Logo'!O558)</f>
        <v>0</v>
      </c>
      <c r="AD13" s="843"/>
      <c r="AE13" s="843"/>
      <c r="AF13" s="843"/>
      <c r="AG13" s="843"/>
      <c r="AH13" s="843"/>
      <c r="AI13" s="843"/>
      <c r="AJ13" s="843" t="b">
        <f>IF(OR(Ram_1!$AU$10=2,Ram_1!$AU$10=3),'Translate&amp;Prices&amp;Logo'!O559)</f>
        <v>0</v>
      </c>
      <c r="AK13" s="843"/>
      <c r="AL13" s="843"/>
      <c r="AM13" s="843"/>
      <c r="AN13" s="843"/>
      <c r="AO13" s="843"/>
      <c r="AR13" s="841"/>
      <c r="AU13">
        <v>1</v>
      </c>
      <c r="AV13" t="str">
        <f>'Translate&amp;Prices&amp;Logo'!$O$558</f>
        <v>Poziomo</v>
      </c>
      <c r="AZ13">
        <v>3</v>
      </c>
      <c r="BA13" t="str">
        <f>'Translate&amp;Prices&amp;Logo'!$O$552</f>
        <v>Podnośniki</v>
      </c>
      <c r="BD13" s="1" t="s">
        <v>126</v>
      </c>
      <c r="BE13" s="1" t="s">
        <v>486</v>
      </c>
      <c r="BI13" s="1" t="s">
        <v>97</v>
      </c>
      <c r="BJ13" s="1" t="s">
        <v>480</v>
      </c>
      <c r="BM13" s="1" t="s">
        <v>246</v>
      </c>
      <c r="BN13" s="1" t="s">
        <v>520</v>
      </c>
      <c r="BS13" s="1" t="s">
        <v>252</v>
      </c>
      <c r="BT13" s="1" t="s">
        <v>2462</v>
      </c>
      <c r="BX13" s="1">
        <v>2</v>
      </c>
      <c r="BY13" s="1" t="str">
        <f>'Translate&amp;Prices&amp;Logo'!$O$101</f>
        <v>Hartowane</v>
      </c>
      <c r="CA13" t="s">
        <v>2010</v>
      </c>
      <c r="CB13" t="s">
        <v>2480</v>
      </c>
    </row>
    <row r="14" spans="1:80" ht="16.350000000000001" customHeight="1">
      <c r="W14" s="819" t="str">
        <f>('Translate&amp;Prices&amp;Logo'!$O$543)&amp;" "&amp;"("&amp;'Translate&amp;Prices&amp;Logo'!$O$174&amp;")"</f>
        <v>Szprosy (Ilość sztuk)</v>
      </c>
      <c r="X14" s="819"/>
      <c r="Y14" s="819"/>
      <c r="Z14" s="819"/>
      <c r="AA14" s="819"/>
      <c r="AB14" s="366"/>
      <c r="AC14" s="814">
        <f>Ram_1!$H$11</f>
        <v>0</v>
      </c>
      <c r="AD14" s="814"/>
      <c r="AE14" s="814"/>
      <c r="AF14" s="814"/>
      <c r="AG14" s="814"/>
      <c r="AH14" s="814"/>
      <c r="AI14" s="814"/>
      <c r="AJ14" s="814">
        <f>Ram_1!$M$11</f>
        <v>0</v>
      </c>
      <c r="AK14" s="814"/>
      <c r="AL14" s="814"/>
      <c r="AM14" s="814"/>
      <c r="AN14" s="814"/>
      <c r="AO14" s="814"/>
      <c r="AR14" s="841"/>
      <c r="AU14">
        <v>2</v>
      </c>
      <c r="AV14" t="str">
        <f>'Translate&amp;Prices&amp;Logo'!$O$559</f>
        <v>Pionowo</v>
      </c>
      <c r="BD14" s="1" t="s">
        <v>127</v>
      </c>
      <c r="BE14" s="1" t="s">
        <v>2235</v>
      </c>
      <c r="BI14" s="1" t="s">
        <v>420</v>
      </c>
      <c r="BJ14" s="1" t="s">
        <v>479</v>
      </c>
      <c r="BM14" s="1" t="s">
        <v>248</v>
      </c>
      <c r="BN14" s="1" t="s">
        <v>521</v>
      </c>
      <c r="BS14" s="1" t="s">
        <v>242</v>
      </c>
      <c r="BT14" s="1" t="s">
        <v>516</v>
      </c>
      <c r="BX14" s="1">
        <v>3</v>
      </c>
      <c r="BY14" s="1" t="str">
        <f>'Translate&amp;Prices&amp;Logo'!$O$102</f>
        <v>Folia</v>
      </c>
      <c r="CA14" t="s">
        <v>2013</v>
      </c>
      <c r="CB14" t="s">
        <v>2481</v>
      </c>
    </row>
    <row r="15" spans="1:80" ht="16.350000000000001" customHeight="1">
      <c r="W15" s="819" t="str">
        <f>'Translate&amp;Prices&amp;Logo'!$O$258</f>
        <v>Typ okucia</v>
      </c>
      <c r="X15" s="819"/>
      <c r="Y15" s="819"/>
      <c r="Z15" s="819"/>
      <c r="AA15" s="819"/>
      <c r="AB15" s="366"/>
      <c r="AC15" s="814">
        <f>IFERROR(VLOOKUP(Ram_1!$AU$9,AZ12:BA13,2,0),0)</f>
        <v>0</v>
      </c>
      <c r="AD15" s="814"/>
      <c r="AE15" s="814"/>
      <c r="AF15" s="814"/>
      <c r="AG15" s="814"/>
      <c r="AH15" s="814"/>
      <c r="AI15" s="814"/>
      <c r="AJ15" s="814"/>
      <c r="AK15" s="814"/>
      <c r="AL15" s="814"/>
      <c r="AM15" s="814"/>
      <c r="AN15" s="814"/>
      <c r="AO15" s="814"/>
      <c r="AR15" s="841"/>
      <c r="AU15">
        <v>3</v>
      </c>
      <c r="AV15" t="str">
        <f>'Translate&amp;Prices&amp;Logo'!$O$560</f>
        <v>Poziomo i pionowo</v>
      </c>
      <c r="BD15" s="1" t="s">
        <v>125</v>
      </c>
      <c r="BE15" s="1" t="s">
        <v>485</v>
      </c>
      <c r="BI15" s="1" t="s">
        <v>421</v>
      </c>
      <c r="BJ15" s="1" t="s">
        <v>480</v>
      </c>
      <c r="BM15" s="1" t="s">
        <v>247</v>
      </c>
      <c r="BN15" s="1" t="s">
        <v>522</v>
      </c>
      <c r="BS15" s="1" t="s">
        <v>241</v>
      </c>
      <c r="BT15" s="1" t="s">
        <v>517</v>
      </c>
      <c r="CA15" t="s">
        <v>2318</v>
      </c>
      <c r="CB15" t="s">
        <v>2479</v>
      </c>
    </row>
    <row r="16" spans="1:80" ht="16.350000000000001" customHeight="1">
      <c r="W16" s="819" t="str">
        <f>'Translate&amp;Prices&amp;Logo'!$O$544</f>
        <v>Marka okucia</v>
      </c>
      <c r="X16" s="819"/>
      <c r="Y16" s="819"/>
      <c r="Z16" s="819"/>
      <c r="AA16" s="819"/>
      <c r="AB16" s="366"/>
      <c r="AC16" s="814">
        <f>Ram_1!$H$13</f>
        <v>0</v>
      </c>
      <c r="AD16" s="814"/>
      <c r="AE16" s="814"/>
      <c r="AF16" s="814"/>
      <c r="AG16" s="814"/>
      <c r="AH16" s="814"/>
      <c r="AI16" s="814"/>
      <c r="AJ16" s="814"/>
      <c r="AK16" s="814"/>
      <c r="AL16" s="814"/>
      <c r="AM16" s="814"/>
      <c r="AN16" s="814"/>
      <c r="AO16" s="814"/>
      <c r="AR16" s="841"/>
      <c r="BD16" s="1" t="s">
        <v>126</v>
      </c>
      <c r="BE16" s="1" t="s">
        <v>486</v>
      </c>
      <c r="BI16" s="1" t="s">
        <v>740</v>
      </c>
      <c r="BJ16" s="1" t="s">
        <v>479</v>
      </c>
      <c r="BM16" s="1" t="s">
        <v>249</v>
      </c>
      <c r="BN16" s="1" t="s">
        <v>2463</v>
      </c>
      <c r="BS16" s="1" t="s">
        <v>2212</v>
      </c>
      <c r="BT16" s="1" t="s">
        <v>2210</v>
      </c>
      <c r="CA16" t="s">
        <v>2319</v>
      </c>
      <c r="CB16" t="s">
        <v>2480</v>
      </c>
    </row>
    <row r="17" spans="19:80" ht="16.350000000000001" customHeight="1" thickBot="1">
      <c r="W17" s="819" t="str">
        <f>'Translate&amp;Prices&amp;Logo'!$O$546</f>
        <v>Nałożenie</v>
      </c>
      <c r="X17" s="819"/>
      <c r="Y17" s="819"/>
      <c r="Z17" s="819"/>
      <c r="AA17" s="819"/>
      <c r="AB17" s="366"/>
      <c r="AC17" s="814">
        <f>IFERROR(VLOOKUP(Ram_1!$H$14,BD12:BE26,2,0),0)</f>
        <v>0</v>
      </c>
      <c r="AD17" s="814"/>
      <c r="AE17" s="814"/>
      <c r="AF17" s="814"/>
      <c r="AG17" s="814"/>
      <c r="AH17" s="814"/>
      <c r="AI17" s="814"/>
      <c r="AJ17" s="814"/>
      <c r="AK17" s="814"/>
      <c r="AL17" s="814"/>
      <c r="AM17" s="814"/>
      <c r="AN17" s="814"/>
      <c r="AO17" s="814"/>
      <c r="AR17" s="841"/>
      <c r="BD17" s="1" t="s">
        <v>127</v>
      </c>
      <c r="BE17" s="1" t="s">
        <v>2235</v>
      </c>
      <c r="BI17" s="1" t="s">
        <v>556</v>
      </c>
      <c r="BJ17" s="1" t="s">
        <v>480</v>
      </c>
      <c r="BM17" s="1" t="s">
        <v>454</v>
      </c>
      <c r="BN17" s="1" t="s">
        <v>519</v>
      </c>
      <c r="BS17" s="1" t="s">
        <v>252</v>
      </c>
      <c r="BT17" s="1" t="s">
        <v>2462</v>
      </c>
      <c r="CA17" t="s">
        <v>2320</v>
      </c>
      <c r="CB17" t="s">
        <v>2481</v>
      </c>
    </row>
    <row r="18" spans="19:80" ht="16.350000000000001" customHeight="1">
      <c r="S18" s="839">
        <f>Ram_1!AR14</f>
        <v>0</v>
      </c>
      <c r="W18" s="819" t="str">
        <f>'Translate&amp;Prices&amp;Logo'!$O$545</f>
        <v>Wariant okucia</v>
      </c>
      <c r="X18" s="819"/>
      <c r="Y18" s="819"/>
      <c r="Z18" s="819"/>
      <c r="AA18" s="819"/>
      <c r="AB18" s="366"/>
      <c r="AC18" s="814">
        <f>IFERROR(VLOOKUP(Ram_1!$H$15,kombinace_1!$ED:$EE,2,0),Ram_1!$H$15)</f>
        <v>0</v>
      </c>
      <c r="AD18" s="814"/>
      <c r="AE18" s="814"/>
      <c r="AF18" s="814"/>
      <c r="AG18" s="814"/>
      <c r="AH18" s="814"/>
      <c r="AI18" s="814"/>
      <c r="AJ18" s="814"/>
      <c r="AK18" s="814"/>
      <c r="AL18" s="814"/>
      <c r="AM18" s="814"/>
      <c r="AN18" s="814"/>
      <c r="AO18" s="814"/>
      <c r="AR18" s="841"/>
      <c r="BD18" s="1" t="s">
        <v>485</v>
      </c>
      <c r="BE18" s="1" t="s">
        <v>485</v>
      </c>
      <c r="BI18" s="1" t="s">
        <v>2521</v>
      </c>
      <c r="BJ18" s="1" t="s">
        <v>479</v>
      </c>
      <c r="BM18" s="1" t="s">
        <v>455</v>
      </c>
      <c r="BN18" s="1" t="s">
        <v>520</v>
      </c>
      <c r="BS18" s="1" t="s">
        <v>450</v>
      </c>
      <c r="BT18" s="1" t="s">
        <v>516</v>
      </c>
      <c r="CA18" t="s">
        <v>2479</v>
      </c>
      <c r="CB18" t="s">
        <v>2479</v>
      </c>
    </row>
    <row r="19" spans="19:80" ht="16.350000000000001" customHeight="1">
      <c r="S19" s="840">
        <f>Ram_1!AR15</f>
        <v>0</v>
      </c>
      <c r="W19" s="819" t="str">
        <f>'Translate&amp;Prices&amp;Logo'!$O$218</f>
        <v>Wybierz pozycję ramki</v>
      </c>
      <c r="X19" s="819"/>
      <c r="Y19" s="819"/>
      <c r="Z19" s="819"/>
      <c r="AA19" s="819"/>
      <c r="AB19" s="814">
        <f>IFERROR(VLOOKUP(Ram_1!$F$16,BI12:BJ21,2,0),0)</f>
        <v>0</v>
      </c>
      <c r="AC19" s="814"/>
      <c r="AD19" s="814"/>
      <c r="AE19" s="814"/>
      <c r="AF19" s="814"/>
      <c r="AG19" s="819" t="str">
        <f>'Translate&amp;Prices&amp;Logo'!$O$232</f>
        <v>Rodzaj drugiej ramki</v>
      </c>
      <c r="AH19" s="819"/>
      <c r="AI19" s="819"/>
      <c r="AJ19" s="819"/>
      <c r="AK19" s="819"/>
      <c r="AL19" s="814">
        <f>IFERROR(VLOOKUP(Ram_1!$N$16,BM12:BN36,2,0),0)</f>
        <v>0</v>
      </c>
      <c r="AM19" s="814"/>
      <c r="AN19" s="814"/>
      <c r="AO19" s="814"/>
      <c r="AR19" s="841"/>
      <c r="BD19" s="1" t="s">
        <v>486</v>
      </c>
      <c r="BE19" s="1" t="s">
        <v>486</v>
      </c>
      <c r="BI19" s="1" t="s">
        <v>2522</v>
      </c>
      <c r="BJ19" s="1" t="s">
        <v>480</v>
      </c>
      <c r="BM19" s="1" t="s">
        <v>456</v>
      </c>
      <c r="BN19" s="1" t="s">
        <v>521</v>
      </c>
      <c r="BS19" s="1" t="s">
        <v>451</v>
      </c>
      <c r="BT19" s="1" t="s">
        <v>517</v>
      </c>
      <c r="CA19" t="s">
        <v>2480</v>
      </c>
      <c r="CB19" t="s">
        <v>2480</v>
      </c>
    </row>
    <row r="20" spans="19:80" ht="16.350000000000001" customHeight="1">
      <c r="S20" s="840">
        <f>Ram_1!AR16</f>
        <v>0</v>
      </c>
      <c r="W20" s="819" t="str">
        <f>'Translate&amp;Prices&amp;Logo'!$O$226</f>
        <v>Umieszczenie</v>
      </c>
      <c r="X20" s="819"/>
      <c r="Y20" s="819"/>
      <c r="Z20" s="819"/>
      <c r="AA20" s="819"/>
      <c r="AB20" s="366"/>
      <c r="AC20" s="834">
        <f>IFERROR(VLOOKUP(Ram_1!$H$17,BS48:BT67,2,0),0)</f>
        <v>0</v>
      </c>
      <c r="AD20" s="834"/>
      <c r="AE20" s="834"/>
      <c r="AF20" s="834"/>
      <c r="AG20" s="834"/>
      <c r="AH20" s="834"/>
      <c r="AI20" s="834"/>
      <c r="AJ20" s="835"/>
      <c r="AK20" s="835"/>
      <c r="AL20" s="835"/>
      <c r="AM20" s="835"/>
      <c r="AN20" s="835"/>
      <c r="AO20" s="835"/>
      <c r="AR20" s="841"/>
      <c r="BD20" s="1" t="s">
        <v>2235</v>
      </c>
      <c r="BE20" s="1" t="s">
        <v>2235</v>
      </c>
      <c r="BI20" s="1" t="s">
        <v>479</v>
      </c>
      <c r="BJ20" s="1" t="s">
        <v>479</v>
      </c>
      <c r="BM20" s="1" t="s">
        <v>457</v>
      </c>
      <c r="BN20" s="1" t="s">
        <v>522</v>
      </c>
      <c r="BS20" s="1" t="s">
        <v>2210</v>
      </c>
      <c r="BT20" s="1" t="s">
        <v>2210</v>
      </c>
      <c r="CA20" t="s">
        <v>2481</v>
      </c>
      <c r="CB20" t="s">
        <v>2481</v>
      </c>
    </row>
    <row r="21" spans="19:80" ht="16.350000000000001" customHeight="1">
      <c r="S21" s="840">
        <f>Ram_1!AR17</f>
        <v>0</v>
      </c>
      <c r="W21" s="819" t="str">
        <f>'Translate&amp;Prices&amp;Logo'!$O$547</f>
        <v>Zawiasy do podnośników</v>
      </c>
      <c r="X21" s="819"/>
      <c r="Y21" s="819"/>
      <c r="Z21" s="819"/>
      <c r="AA21" s="819"/>
      <c r="AB21" s="366"/>
      <c r="AC21" s="814"/>
      <c r="AD21" s="814"/>
      <c r="AE21" s="814"/>
      <c r="AF21" s="814"/>
      <c r="AG21" s="814"/>
      <c r="AH21" s="814"/>
      <c r="AI21" s="814"/>
      <c r="AJ21" s="814"/>
      <c r="AK21" s="814"/>
      <c r="AL21" s="814"/>
      <c r="AM21" s="814"/>
      <c r="AN21" s="814"/>
      <c r="AO21" s="814"/>
      <c r="AR21" s="841"/>
      <c r="BD21" s="1" t="s">
        <v>561</v>
      </c>
      <c r="BE21" s="1" t="s">
        <v>485</v>
      </c>
      <c r="BI21" s="1" t="s">
        <v>480</v>
      </c>
      <c r="BJ21" s="1" t="s">
        <v>480</v>
      </c>
      <c r="BM21" s="1" t="s">
        <v>458</v>
      </c>
      <c r="BN21" s="1" t="s">
        <v>2463</v>
      </c>
      <c r="BS21" s="1" t="s">
        <v>2462</v>
      </c>
      <c r="BT21" s="1" t="s">
        <v>2462</v>
      </c>
      <c r="CA21" t="s">
        <v>2321</v>
      </c>
      <c r="CB21" t="s">
        <v>2479</v>
      </c>
    </row>
    <row r="22" spans="19:80" ht="16.350000000000001" customHeight="1">
      <c r="S22" s="840">
        <f>Ram_1!AR18</f>
        <v>0</v>
      </c>
      <c r="W22" s="819" t="str">
        <f>'Translate&amp;Prices&amp;Logo'!$O$223</f>
        <v>Ilość zawiasów na 1 ramkę</v>
      </c>
      <c r="X22" s="819"/>
      <c r="Y22" s="819"/>
      <c r="Z22" s="819"/>
      <c r="AA22" s="819"/>
      <c r="AB22" s="366"/>
      <c r="AC22" s="814">
        <f>Ram_1!$H$19</f>
        <v>0</v>
      </c>
      <c r="AD22" s="814"/>
      <c r="AE22" s="814"/>
      <c r="AF22" s="814"/>
      <c r="AG22" s="814"/>
      <c r="AH22" s="814"/>
      <c r="AI22" s="814"/>
      <c r="AJ22" s="814"/>
      <c r="AK22" s="814"/>
      <c r="AL22" s="814"/>
      <c r="AM22" s="814"/>
      <c r="AN22" s="814"/>
      <c r="AO22" s="814"/>
      <c r="AR22" s="841"/>
      <c r="BD22" s="1" t="s">
        <v>562</v>
      </c>
      <c r="BE22" s="1" t="s">
        <v>486</v>
      </c>
      <c r="BM22" s="1" t="s">
        <v>519</v>
      </c>
      <c r="BN22" s="1" t="s">
        <v>519</v>
      </c>
      <c r="BS22" s="1" t="s">
        <v>516</v>
      </c>
      <c r="BT22" s="1" t="s">
        <v>516</v>
      </c>
      <c r="CA22" t="s">
        <v>2427</v>
      </c>
      <c r="CB22" t="s">
        <v>2480</v>
      </c>
    </row>
    <row r="23" spans="19:80" ht="16.350000000000001" customHeight="1">
      <c r="S23" s="837" t="str">
        <f>'Translate&amp;Prices&amp;Logo'!$O$176</f>
        <v>Wysokość</v>
      </c>
      <c r="W23" s="819" t="e">
        <f>'Translate&amp;Prices&amp;Logo'!$O$242&amp;" "&amp;VLOOKUP(Ram_1!H17,kombinace_1!BY32:CD35,5,0)</f>
        <v>#N/A</v>
      </c>
      <c r="X23" s="819"/>
      <c r="Y23" s="819"/>
      <c r="Z23" s="819"/>
      <c r="AA23" s="819"/>
      <c r="AB23" s="814">
        <f>Ram_1!$F$20</f>
        <v>100</v>
      </c>
      <c r="AC23" s="814"/>
      <c r="AD23" s="814"/>
      <c r="AE23" s="814"/>
      <c r="AF23" s="814"/>
      <c r="AG23" s="819" t="e">
        <f>'Translate&amp;Prices&amp;Logo'!$O$242&amp;" "&amp;VLOOKUP(Ram_1!H17,kombinace_1!$BY$32:$CD$35,6,0)</f>
        <v>#N/A</v>
      </c>
      <c r="AH23" s="819"/>
      <c r="AI23" s="819"/>
      <c r="AJ23" s="819"/>
      <c r="AK23" s="819"/>
      <c r="AL23" s="814">
        <f>Ram_1!$N$20</f>
        <v>100</v>
      </c>
      <c r="AM23" s="814"/>
      <c r="AN23" s="814"/>
      <c r="AO23" s="814"/>
      <c r="AR23" s="841"/>
      <c r="BD23" s="1" t="s">
        <v>563</v>
      </c>
      <c r="BE23" s="1" t="s">
        <v>2235</v>
      </c>
      <c r="BM23" s="1" t="s">
        <v>520</v>
      </c>
      <c r="BN23" s="1" t="s">
        <v>520</v>
      </c>
      <c r="BS23" s="1" t="s">
        <v>517</v>
      </c>
      <c r="BT23" s="1" t="s">
        <v>517</v>
      </c>
      <c r="CA23" t="s">
        <v>2322</v>
      </c>
      <c r="CB23" t="s">
        <v>2481</v>
      </c>
    </row>
    <row r="24" spans="19:80" ht="16.350000000000001" customHeight="1">
      <c r="S24" s="837">
        <f>Ram_1!AR20</f>
        <v>0</v>
      </c>
      <c r="W24" s="819" t="str">
        <f>'Translate&amp;Prices&amp;Logo'!$O$653</f>
        <v>Wypełnienie z siatki</v>
      </c>
      <c r="X24" s="819"/>
      <c r="Y24" s="819"/>
      <c r="Z24" s="819"/>
      <c r="AA24" s="819"/>
      <c r="AB24" s="366"/>
      <c r="AC24" s="844" t="str">
        <f>IF(kombinace_1!FC2=TRUE,"Tak","Nie")</f>
        <v>Nie</v>
      </c>
      <c r="AD24" s="844"/>
      <c r="AE24" s="844"/>
      <c r="AF24" s="844"/>
      <c r="AG24" s="844"/>
      <c r="AH24" s="844"/>
      <c r="AI24" s="844"/>
      <c r="AJ24" s="844"/>
      <c r="AK24" s="844"/>
      <c r="AL24" s="844"/>
      <c r="AM24" s="844"/>
      <c r="AN24" s="844"/>
      <c r="AO24" s="844"/>
      <c r="AR24" s="841"/>
      <c r="BD24" s="1" t="s">
        <v>2800</v>
      </c>
      <c r="BE24" s="1" t="s">
        <v>485</v>
      </c>
      <c r="BM24" s="1" t="s">
        <v>521</v>
      </c>
      <c r="BN24" s="1" t="s">
        <v>521</v>
      </c>
      <c r="BS24" s="1" t="s">
        <v>2211</v>
      </c>
      <c r="BT24" s="1" t="s">
        <v>2210</v>
      </c>
      <c r="CA24" t="s">
        <v>2577</v>
      </c>
      <c r="CB24" t="s">
        <v>2479</v>
      </c>
    </row>
    <row r="25" spans="19:80" ht="16.350000000000001" customHeight="1">
      <c r="S25" s="837">
        <f>Ram_1!AR21</f>
        <v>0</v>
      </c>
      <c r="W25" s="819" t="str">
        <f>'Translate&amp;Prices&amp;Logo'!$O$173</f>
        <v>Rodzaj szkła</v>
      </c>
      <c r="X25" s="819"/>
      <c r="Y25" s="819"/>
      <c r="Z25" s="819"/>
      <c r="AA25" s="819"/>
      <c r="AB25" s="366"/>
      <c r="AC25" s="814" t="str">
        <f>IFERROR(VLOOKUP(kombinace_1!$V$1,BX12:BY14,2,0),0)</f>
        <v>Bez modyfikacji</v>
      </c>
      <c r="AD25" s="814"/>
      <c r="AE25" s="814"/>
      <c r="AF25" s="814"/>
      <c r="AG25" s="814"/>
      <c r="AH25" s="814"/>
      <c r="AI25" s="814"/>
      <c r="AJ25" s="814"/>
      <c r="AK25" s="814"/>
      <c r="AL25" s="814"/>
      <c r="AM25" s="814"/>
      <c r="AN25" s="814"/>
      <c r="AO25" s="814"/>
      <c r="AR25" s="841"/>
      <c r="BD25" s="1" t="s">
        <v>2651</v>
      </c>
      <c r="BE25" s="1" t="s">
        <v>486</v>
      </c>
      <c r="BM25" s="1" t="s">
        <v>522</v>
      </c>
      <c r="BN25" s="1" t="s">
        <v>522</v>
      </c>
      <c r="BS25" s="1" t="s">
        <v>2213</v>
      </c>
      <c r="BT25" s="1" t="s">
        <v>2462</v>
      </c>
      <c r="CA25" t="s">
        <v>2578</v>
      </c>
      <c r="CB25" t="s">
        <v>2480</v>
      </c>
    </row>
    <row r="26" spans="19:80" ht="16.350000000000001" customHeight="1">
      <c r="S26" s="837">
        <f>Ram_1!AR22</f>
        <v>0</v>
      </c>
      <c r="W26" s="819" t="str">
        <f>'Translate&amp;Prices&amp;Logo'!$O$562</f>
        <v>Rodzaj folii</v>
      </c>
      <c r="X26" s="819"/>
      <c r="Y26" s="819"/>
      <c r="Z26" s="819"/>
      <c r="AA26" s="819"/>
      <c r="AB26" s="366"/>
      <c r="AC26" s="814">
        <f>IFERROR(VLOOKUP(Ram_1!$H$24,CA12:CB26,2,0),0)</f>
        <v>0</v>
      </c>
      <c r="AD26" s="814"/>
      <c r="AE26" s="814"/>
      <c r="AF26" s="814"/>
      <c r="AG26" s="814"/>
      <c r="AH26" s="814"/>
      <c r="AI26" s="814"/>
      <c r="AJ26" s="814"/>
      <c r="AK26" s="814"/>
      <c r="AL26" s="814"/>
      <c r="AM26" s="814"/>
      <c r="AN26" s="814"/>
      <c r="AO26" s="814"/>
      <c r="AR26" s="841"/>
      <c r="BD26" s="1" t="s">
        <v>1781</v>
      </c>
      <c r="BE26" s="1" t="s">
        <v>2235</v>
      </c>
      <c r="BM26" s="1" t="s">
        <v>2463</v>
      </c>
      <c r="BN26" s="1" t="s">
        <v>2463</v>
      </c>
      <c r="BS26" s="1" t="s">
        <v>593</v>
      </c>
      <c r="BT26" s="1" t="s">
        <v>516</v>
      </c>
      <c r="CA26" t="s">
        <v>2579</v>
      </c>
      <c r="CB26" t="s">
        <v>2481</v>
      </c>
    </row>
    <row r="27" spans="19:80" ht="16.350000000000001" customHeight="1" thickBot="1">
      <c r="S27" s="838">
        <f>Ram_1!AR23</f>
        <v>0</v>
      </c>
      <c r="W27" s="819" t="str">
        <f>'Translate&amp;Prices&amp;Logo'!$O$173</f>
        <v>Rodzaj szkła</v>
      </c>
      <c r="X27" s="819"/>
      <c r="Y27" s="819"/>
      <c r="Z27" s="819"/>
      <c r="AA27" s="819"/>
      <c r="AB27" s="366"/>
      <c r="AC27" s="814">
        <f>IFERROR(VLOOKUP(Ram_1!$H$25,kombinace_1!DT:DU,2,0),0)</f>
        <v>0</v>
      </c>
      <c r="AD27" s="814"/>
      <c r="AE27" s="814"/>
      <c r="AF27" s="814"/>
      <c r="AG27" s="814"/>
      <c r="AH27" s="814"/>
      <c r="AI27" s="814"/>
      <c r="AJ27" s="814"/>
      <c r="AK27" s="814"/>
      <c r="AL27" s="814"/>
      <c r="AM27" s="814"/>
      <c r="AN27" s="814"/>
      <c r="AO27" s="814"/>
      <c r="AR27" s="841"/>
      <c r="BM27" s="1" t="s">
        <v>597</v>
      </c>
      <c r="BN27" s="1" t="s">
        <v>519</v>
      </c>
      <c r="BS27" s="1" t="s">
        <v>594</v>
      </c>
      <c r="BT27" s="1" t="s">
        <v>517</v>
      </c>
    </row>
    <row r="28" spans="19:80" ht="16.350000000000001" customHeight="1">
      <c r="W28" s="819" t="str">
        <f>'Translate&amp;Prices&amp;Logo'!$O$549</f>
        <v>Rozstaw uchwytu (mm)</v>
      </c>
      <c r="X28" s="819"/>
      <c r="Y28" s="819"/>
      <c r="Z28" s="819"/>
      <c r="AA28" s="819"/>
      <c r="AB28" s="366"/>
      <c r="AC28" s="814">
        <f>Ram_1!$H$26</f>
        <v>0</v>
      </c>
      <c r="AD28" s="814"/>
      <c r="AE28" s="814"/>
      <c r="AF28" s="814"/>
      <c r="AG28" s="814"/>
      <c r="AH28" s="814"/>
      <c r="AI28" s="814"/>
      <c r="AJ28" s="814"/>
      <c r="AK28" s="814"/>
      <c r="AL28" s="814"/>
      <c r="AM28" s="814"/>
      <c r="AN28" s="814"/>
      <c r="AO28" s="814"/>
      <c r="AR28" s="841"/>
      <c r="BM28" s="1" t="s">
        <v>598</v>
      </c>
      <c r="BN28" s="1" t="s">
        <v>520</v>
      </c>
      <c r="BS28" s="1" t="s">
        <v>2528</v>
      </c>
      <c r="BT28" s="1" t="s">
        <v>2210</v>
      </c>
    </row>
    <row r="29" spans="19:80" ht="16.350000000000001" customHeight="1">
      <c r="W29" s="819" t="str">
        <f>'Translate&amp;Prices&amp;Logo'!$O$550</f>
        <v>Umieszczenie uchwytu</v>
      </c>
      <c r="X29" s="819"/>
      <c r="Y29" s="819"/>
      <c r="Z29" s="819"/>
      <c r="AA29" s="819"/>
      <c r="AB29" s="366"/>
      <c r="AC29" s="814">
        <f>IFERROR(VLOOKUP(Ram_1!$H$27,BS12:BT31,2,0),0)</f>
        <v>0</v>
      </c>
      <c r="AD29" s="814"/>
      <c r="AE29" s="814"/>
      <c r="AF29" s="814"/>
      <c r="AG29" s="814"/>
      <c r="AH29" s="814"/>
      <c r="AI29" s="814"/>
      <c r="AJ29" s="814"/>
      <c r="AK29" s="814"/>
      <c r="AL29" s="814"/>
      <c r="AM29" s="814"/>
      <c r="AN29" s="814"/>
      <c r="AO29" s="814"/>
      <c r="AR29" s="841"/>
      <c r="BM29" s="1" t="s">
        <v>599</v>
      </c>
      <c r="BN29" s="1" t="s">
        <v>521</v>
      </c>
      <c r="BS29" s="1" t="s">
        <v>1855</v>
      </c>
      <c r="BT29" s="1" t="s">
        <v>2462</v>
      </c>
    </row>
    <row r="30" spans="19:80" ht="16.350000000000001" customHeight="1">
      <c r="W30" s="819" t="str">
        <f>('Translate&amp;Prices&amp;Logo'!$O$174)&amp;" "&amp;"-"&amp;" "&amp;('Translate&amp;Prices&amp;Logo'!$O$169)&amp;" "&amp;" "&amp;1</f>
        <v>Ilość sztuk - Ramka  1</v>
      </c>
      <c r="X30" s="819"/>
      <c r="Y30" s="819"/>
      <c r="Z30" s="819"/>
      <c r="AA30" s="819"/>
      <c r="AB30" s="366"/>
      <c r="AC30" s="814">
        <f>Ram_1!$H$28</f>
        <v>0</v>
      </c>
      <c r="AD30" s="814"/>
      <c r="AE30" s="814"/>
      <c r="AF30" s="814"/>
      <c r="AG30" s="814"/>
      <c r="AH30" s="814"/>
      <c r="AI30" s="814"/>
      <c r="AJ30" s="814"/>
      <c r="AK30" s="814"/>
      <c r="AL30" s="814"/>
      <c r="AM30" s="814"/>
      <c r="AN30" s="814"/>
      <c r="AO30" s="814"/>
      <c r="AR30" s="841"/>
      <c r="BM30" s="1" t="s">
        <v>600</v>
      </c>
      <c r="BN30" s="1" t="s">
        <v>522</v>
      </c>
      <c r="BS30" s="1" t="s">
        <v>1814</v>
      </c>
      <c r="BT30" s="1" t="s">
        <v>516</v>
      </c>
    </row>
    <row r="31" spans="19:80" ht="16.350000000000001" customHeight="1">
      <c r="AE31" s="1"/>
      <c r="AF31" s="1"/>
      <c r="AR31" s="841"/>
      <c r="BM31" s="1" t="s">
        <v>2386</v>
      </c>
      <c r="BN31" s="1" t="s">
        <v>2463</v>
      </c>
      <c r="BS31" s="1" t="s">
        <v>1815</v>
      </c>
      <c r="BT31" s="1" t="s">
        <v>517</v>
      </c>
    </row>
    <row r="32" spans="19:80" ht="14.85" customHeight="1">
      <c r="AR32" s="841"/>
      <c r="BM32" s="1" t="s">
        <v>2529</v>
      </c>
      <c r="BN32" s="1" t="s">
        <v>519</v>
      </c>
      <c r="BS32" s="445" t="s">
        <v>3644</v>
      </c>
      <c r="BT32" s="445" t="s">
        <v>3652</v>
      </c>
    </row>
    <row r="33" spans="1:80" ht="14.85" customHeight="1">
      <c r="W33" s="822" t="s">
        <v>2828</v>
      </c>
      <c r="X33" s="822"/>
      <c r="Y33" s="822"/>
      <c r="Z33" s="822"/>
      <c r="AE33" s="822" t="s">
        <v>2829</v>
      </c>
      <c r="AF33" s="822"/>
      <c r="AG33" s="822"/>
      <c r="AH33" s="822"/>
      <c r="AR33" s="841"/>
      <c r="BM33" s="1" t="s">
        <v>2530</v>
      </c>
      <c r="BN33" s="1" t="s">
        <v>520</v>
      </c>
      <c r="BS33" s="445" t="s">
        <v>3645</v>
      </c>
      <c r="BT33" s="445" t="s">
        <v>3653</v>
      </c>
    </row>
    <row r="34" spans="1:80" ht="14.85" customHeight="1">
      <c r="AE34" s="823"/>
      <c r="AF34" s="824"/>
      <c r="AG34" s="824"/>
      <c r="AH34" s="824"/>
      <c r="AI34" s="824"/>
      <c r="AJ34" s="824"/>
      <c r="AK34" s="824"/>
      <c r="AL34" s="824"/>
      <c r="AM34" s="824"/>
      <c r="AN34" s="825"/>
      <c r="AR34" s="841"/>
      <c r="BM34" s="1" t="s">
        <v>2679</v>
      </c>
      <c r="BN34" s="1" t="s">
        <v>521</v>
      </c>
      <c r="BS34" s="445" t="s">
        <v>3646</v>
      </c>
      <c r="BT34" s="445" t="s">
        <v>3654</v>
      </c>
    </row>
    <row r="35" spans="1:80" ht="14.85" customHeight="1">
      <c r="AE35" s="826"/>
      <c r="AF35" s="827"/>
      <c r="AG35" s="827"/>
      <c r="AH35" s="827"/>
      <c r="AI35" s="827"/>
      <c r="AJ35" s="827"/>
      <c r="AK35" s="827"/>
      <c r="AL35" s="827"/>
      <c r="AM35" s="827"/>
      <c r="AN35" s="828"/>
      <c r="AR35" s="841"/>
      <c r="BM35" s="1" t="s">
        <v>2680</v>
      </c>
      <c r="BN35" s="1" t="s">
        <v>522</v>
      </c>
      <c r="BS35" s="445" t="s">
        <v>3647</v>
      </c>
      <c r="BT35" s="445" t="s">
        <v>3655</v>
      </c>
    </row>
    <row r="36" spans="1:80" ht="14.85" customHeight="1">
      <c r="AE36" s="826"/>
      <c r="AF36" s="827"/>
      <c r="AG36" s="827"/>
      <c r="AH36" s="827"/>
      <c r="AI36" s="827"/>
      <c r="AJ36" s="827"/>
      <c r="AK36" s="827"/>
      <c r="AL36" s="827"/>
      <c r="AM36" s="827"/>
      <c r="AN36" s="828"/>
      <c r="AR36" s="841"/>
      <c r="BM36" s="1" t="s">
        <v>2019</v>
      </c>
      <c r="BN36" s="1" t="s">
        <v>2463</v>
      </c>
      <c r="BS36" s="487" t="s">
        <v>243</v>
      </c>
      <c r="BT36" s="445" t="s">
        <v>518</v>
      </c>
    </row>
    <row r="37" spans="1:80" ht="14.85" customHeight="1">
      <c r="D37" s="821">
        <f>IF(OR(Ram_1!$AC$25="x",Ram_1!$AJ$26="x",Ram_1!$AC$9="x",Ram_1!$AJ$7="x",Ram_1!$AB$16="x",Ram_1!$AM$23="x",Ram_1!$AN$19="x",Ram_1!$AD$10="x"),'Translate&amp;Prices&amp;Logo'!$B$588,0)</f>
        <v>0</v>
      </c>
      <c r="E37" s="821"/>
      <c r="F37" s="821"/>
      <c r="G37" s="821"/>
      <c r="H37" s="821"/>
      <c r="I37" s="821"/>
      <c r="J37" s="821"/>
      <c r="K37" s="821"/>
      <c r="L37" s="821"/>
      <c r="M37" s="821"/>
      <c r="N37" s="821"/>
      <c r="O37" s="821"/>
      <c r="P37" s="821"/>
      <c r="AE37" s="826"/>
      <c r="AF37" s="827"/>
      <c r="AG37" s="827"/>
      <c r="AH37" s="827"/>
      <c r="AI37" s="827"/>
      <c r="AJ37" s="827"/>
      <c r="AK37" s="827"/>
      <c r="AL37" s="827"/>
      <c r="AM37" s="827"/>
      <c r="AN37" s="828"/>
      <c r="AR37" s="841"/>
      <c r="BS37" s="445" t="s">
        <v>452</v>
      </c>
      <c r="BT37" s="445" t="s">
        <v>518</v>
      </c>
    </row>
    <row r="38" spans="1:80" ht="14.85" customHeight="1">
      <c r="AE38" s="826"/>
      <c r="AF38" s="827"/>
      <c r="AG38" s="827"/>
      <c r="AH38" s="827"/>
      <c r="AI38" s="827"/>
      <c r="AJ38" s="827"/>
      <c r="AK38" s="827"/>
      <c r="AL38" s="827"/>
      <c r="AM38" s="827"/>
      <c r="AN38" s="828"/>
      <c r="AR38" s="841"/>
      <c r="BS38" s="445" t="s">
        <v>595</v>
      </c>
      <c r="BT38" s="445" t="s">
        <v>518</v>
      </c>
    </row>
    <row r="39" spans="1:80" ht="14.85" customHeight="1" thickBot="1">
      <c r="AE39" s="826"/>
      <c r="AF39" s="827"/>
      <c r="AG39" s="827"/>
      <c r="AH39" s="827"/>
      <c r="AI39" s="827"/>
      <c r="AJ39" s="827"/>
      <c r="AK39" s="827"/>
      <c r="AL39" s="827"/>
      <c r="AM39" s="827"/>
      <c r="AN39" s="828"/>
      <c r="AR39" s="841"/>
      <c r="BS39" s="445" t="s">
        <v>1816</v>
      </c>
      <c r="BT39" s="445" t="s">
        <v>518</v>
      </c>
    </row>
    <row r="40" spans="1:80" ht="14.85" customHeight="1" thickBot="1">
      <c r="G40" s="832" t="str">
        <f>'Translate&amp;Prices&amp;Logo'!$O$175</f>
        <v>Szerokość</v>
      </c>
      <c r="H40" s="833">
        <f>Ram_1!AG30</f>
        <v>0</v>
      </c>
      <c r="I40" s="833">
        <f>Ram_1!AH30</f>
        <v>0</v>
      </c>
      <c r="J40" s="812">
        <f>Ram_1!AI30</f>
        <v>0</v>
      </c>
      <c r="K40" s="812">
        <f>Ram_1!AJ30</f>
        <v>0</v>
      </c>
      <c r="L40" s="813">
        <f>Ram_1!AK30</f>
        <v>0</v>
      </c>
      <c r="AE40" s="826"/>
      <c r="AF40" s="827"/>
      <c r="AG40" s="827"/>
      <c r="AH40" s="827"/>
      <c r="AI40" s="827"/>
      <c r="AJ40" s="827"/>
      <c r="AK40" s="827"/>
      <c r="AL40" s="827"/>
      <c r="AM40" s="827"/>
      <c r="AN40" s="828"/>
      <c r="AR40" s="841"/>
    </row>
    <row r="41" spans="1:80" ht="21" customHeight="1">
      <c r="AE41" s="829"/>
      <c r="AF41" s="830"/>
      <c r="AG41" s="830"/>
      <c r="AH41" s="830"/>
      <c r="AI41" s="830"/>
      <c r="AJ41" s="830"/>
      <c r="AK41" s="830"/>
      <c r="AL41" s="830"/>
      <c r="AM41" s="830"/>
      <c r="AN41" s="831"/>
      <c r="AR41" s="841"/>
    </row>
    <row r="42" spans="1:80" ht="14.85" customHeight="1">
      <c r="AR42" s="841"/>
    </row>
    <row r="43" spans="1:80" ht="14.85" customHeight="1">
      <c r="AR43" s="841"/>
    </row>
    <row r="44" spans="1:80" ht="14.85" customHeight="1" thickBot="1">
      <c r="A44" s="273"/>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435"/>
      <c r="AF44" s="436"/>
      <c r="AG44" s="273"/>
      <c r="AH44" s="273"/>
      <c r="AI44" s="273"/>
      <c r="AJ44" s="273"/>
      <c r="AK44" s="273"/>
      <c r="AL44" s="273"/>
      <c r="AM44" s="273"/>
      <c r="AN44" s="273"/>
      <c r="AO44" s="273"/>
      <c r="AP44" s="273"/>
      <c r="AQ44" s="273"/>
      <c r="AR44" s="273"/>
    </row>
    <row r="45" spans="1:80" ht="35.1" customHeight="1" thickBot="1">
      <c r="J45" s="432"/>
      <c r="K45" s="432"/>
      <c r="L45" s="432"/>
      <c r="M45" s="432"/>
      <c r="N45" s="432"/>
      <c r="O45" s="432"/>
      <c r="P45" s="432"/>
      <c r="Q45" s="432"/>
      <c r="R45" s="432"/>
      <c r="S45" s="432"/>
      <c r="T45" s="432"/>
      <c r="U45" s="432"/>
      <c r="V45" s="432"/>
      <c r="W45" s="818" t="str">
        <f>'Translate&amp;Prices&amp;Logo'!$O$256</f>
        <v>Numer zamówienia</v>
      </c>
      <c r="X45" s="818"/>
      <c r="Y45" s="818"/>
      <c r="Z45" s="818"/>
      <c r="AA45" s="818"/>
      <c r="AB45" s="366"/>
      <c r="AC45" s="815"/>
      <c r="AD45" s="816"/>
      <c r="AE45" s="816"/>
      <c r="AF45" s="816"/>
      <c r="AG45" s="816"/>
      <c r="AH45" s="816"/>
      <c r="AI45" s="816"/>
      <c r="AJ45" s="816"/>
      <c r="AK45" s="816"/>
      <c r="AL45" s="816"/>
      <c r="AM45" s="816"/>
      <c r="AN45" s="816"/>
      <c r="AO45" s="817"/>
      <c r="AR45" s="841" t="s">
        <v>2831</v>
      </c>
    </row>
    <row r="46" spans="1:80" ht="16.350000000000001" customHeight="1">
      <c r="W46" s="819" t="str">
        <f>'Translate&amp;Prices&amp;Logo'!$O$542</f>
        <v>Połączenie 2 profili</v>
      </c>
      <c r="X46" s="819"/>
      <c r="Y46" s="819"/>
      <c r="Z46" s="819"/>
      <c r="AA46" s="819"/>
      <c r="AB46" s="366"/>
      <c r="AC46" s="842" t="str">
        <f>IF(kombinace_2!$H$1=TRUE,"Tak","Nie")</f>
        <v>Nie</v>
      </c>
      <c r="AD46" s="842"/>
      <c r="AE46" s="842"/>
      <c r="AF46" s="842"/>
      <c r="AG46" s="842"/>
      <c r="AH46" s="842"/>
      <c r="AI46" s="842"/>
      <c r="AJ46" s="842"/>
      <c r="AK46" s="842"/>
      <c r="AL46" s="842"/>
      <c r="AM46" s="842"/>
      <c r="AN46" s="842"/>
      <c r="AO46" s="842"/>
      <c r="AR46" s="841"/>
    </row>
    <row r="47" spans="1:80" ht="16.350000000000001" customHeight="1">
      <c r="W47" s="819" t="str">
        <f>'Translate&amp;Prices&amp;Logo'!$O$172</f>
        <v>Rodzaj profilu</v>
      </c>
      <c r="X47" s="819"/>
      <c r="Y47" s="819"/>
      <c r="Z47" s="819"/>
      <c r="AA47" s="819"/>
      <c r="AB47" s="366"/>
      <c r="AC47" s="814">
        <f>IFERROR(VLOOKUP(Ram_2!$H$8,kombinace_1!DW:DY,2,0),0)</f>
        <v>0</v>
      </c>
      <c r="AD47" s="814"/>
      <c r="AE47" s="814"/>
      <c r="AF47" s="814"/>
      <c r="AG47" s="814"/>
      <c r="AH47" s="814"/>
      <c r="AI47" s="814"/>
      <c r="AJ47" s="814"/>
      <c r="AK47" s="814"/>
      <c r="AL47" s="814"/>
      <c r="AM47" s="814"/>
      <c r="AN47" s="814"/>
      <c r="AO47" s="814"/>
      <c r="AR47" s="841"/>
    </row>
    <row r="48" spans="1:80" ht="16.350000000000001" customHeight="1">
      <c r="W48" s="819" t="str">
        <f>'Translate&amp;Prices&amp;Logo'!$O$543</f>
        <v>Szprosy</v>
      </c>
      <c r="X48" s="819"/>
      <c r="Y48" s="819"/>
      <c r="Z48" s="819"/>
      <c r="AA48" s="819"/>
      <c r="AB48" s="366"/>
      <c r="AC48" s="814" t="str">
        <f>IFERROR(VLOOKUP(Ram_2!$AU$10,AU48:AV51,2,0),0)</f>
        <v>Nie</v>
      </c>
      <c r="AD48" s="814"/>
      <c r="AE48" s="814"/>
      <c r="AF48" s="814"/>
      <c r="AG48" s="814"/>
      <c r="AH48" s="814"/>
      <c r="AI48" s="814"/>
      <c r="AJ48" s="814"/>
      <c r="AK48" s="814"/>
      <c r="AL48" s="814"/>
      <c r="AM48" s="814"/>
      <c r="AN48" s="814"/>
      <c r="AO48" s="814"/>
      <c r="AR48" s="841"/>
      <c r="AU48">
        <v>0</v>
      </c>
      <c r="AV48" t="str">
        <f>'Translate&amp;Prices&amp;Logo'!$O$557</f>
        <v>Nie</v>
      </c>
      <c r="AZ48">
        <v>2</v>
      </c>
      <c r="BA48" t="str">
        <f>'Translate&amp;Prices&amp;Logo'!$O$551</f>
        <v>Zawiasy</v>
      </c>
      <c r="BD48" s="1" t="s">
        <v>125</v>
      </c>
      <c r="BE48" s="1" t="s">
        <v>485</v>
      </c>
      <c r="BI48" s="1" t="s">
        <v>98</v>
      </c>
      <c r="BJ48" s="1" t="s">
        <v>479</v>
      </c>
      <c r="BM48" s="1" t="s">
        <v>245</v>
      </c>
      <c r="BN48" s="1" t="s">
        <v>519</v>
      </c>
      <c r="BS48" s="1" t="s">
        <v>251</v>
      </c>
      <c r="BT48" s="1" t="s">
        <v>2210</v>
      </c>
      <c r="BX48" s="1">
        <v>1</v>
      </c>
      <c r="BY48" s="1" t="str">
        <f>'Translate&amp;Prices&amp;Logo'!$O$100</f>
        <v>Bez modyfikacji</v>
      </c>
      <c r="CA48" t="s">
        <v>2007</v>
      </c>
      <c r="CB48" t="s">
        <v>2479</v>
      </c>
    </row>
    <row r="49" spans="19:80" ht="16.350000000000001" customHeight="1">
      <c r="W49" s="437"/>
      <c r="X49" s="437"/>
      <c r="Y49" s="437"/>
      <c r="Z49" s="437"/>
      <c r="AA49" s="437"/>
      <c r="AB49" s="438"/>
      <c r="AC49" s="843" t="str">
        <f>'Translate&amp;Prices&amp;Logo'!$O$558</f>
        <v>Poziomo</v>
      </c>
      <c r="AD49" s="843"/>
      <c r="AE49" s="843"/>
      <c r="AF49" s="843"/>
      <c r="AG49" s="843"/>
      <c r="AH49" s="843"/>
      <c r="AI49" s="843"/>
      <c r="AJ49" s="843" t="str">
        <f>'Translate&amp;Prices&amp;Logo'!$O$559</f>
        <v>Pionowo</v>
      </c>
      <c r="AK49" s="843"/>
      <c r="AL49" s="843"/>
      <c r="AM49" s="843"/>
      <c r="AN49" s="843"/>
      <c r="AO49" s="843"/>
      <c r="AR49" s="841"/>
      <c r="AU49">
        <v>1</v>
      </c>
      <c r="AV49" t="str">
        <f>'Translate&amp;Prices&amp;Logo'!$O$558</f>
        <v>Poziomo</v>
      </c>
      <c r="AZ49">
        <v>3</v>
      </c>
      <c r="BA49" t="str">
        <f>'Translate&amp;Prices&amp;Logo'!$O$552</f>
        <v>Podnośniki</v>
      </c>
      <c r="BD49" s="1" t="s">
        <v>126</v>
      </c>
      <c r="BE49" s="1" t="s">
        <v>486</v>
      </c>
      <c r="BI49" s="1" t="s">
        <v>97</v>
      </c>
      <c r="BJ49" s="1" t="s">
        <v>480</v>
      </c>
      <c r="BM49" s="1" t="s">
        <v>246</v>
      </c>
      <c r="BN49" s="1" t="s">
        <v>520</v>
      </c>
      <c r="BS49" s="1" t="s">
        <v>252</v>
      </c>
      <c r="BT49" s="1" t="s">
        <v>2462</v>
      </c>
      <c r="BX49" s="1">
        <v>2</v>
      </c>
      <c r="BY49" s="1" t="str">
        <f>'Translate&amp;Prices&amp;Logo'!$O$101</f>
        <v>Hartowane</v>
      </c>
      <c r="CA49" t="s">
        <v>2010</v>
      </c>
      <c r="CB49" t="s">
        <v>2480</v>
      </c>
    </row>
    <row r="50" spans="19:80" ht="16.350000000000001" customHeight="1">
      <c r="W50" s="819" t="str">
        <f>('Translate&amp;Prices&amp;Logo'!$O$543)&amp;" "&amp;"("&amp;'Translate&amp;Prices&amp;Logo'!$O$174&amp;")"</f>
        <v>Szprosy (Ilość sztuk)</v>
      </c>
      <c r="X50" s="819"/>
      <c r="Y50" s="819"/>
      <c r="Z50" s="819"/>
      <c r="AA50" s="819"/>
      <c r="AB50" s="366"/>
      <c r="AC50" s="814">
        <f>Ram_2!$H$11</f>
        <v>0</v>
      </c>
      <c r="AD50" s="814"/>
      <c r="AE50" s="814"/>
      <c r="AF50" s="814"/>
      <c r="AG50" s="814"/>
      <c r="AH50" s="814"/>
      <c r="AI50" s="814"/>
      <c r="AJ50" s="814">
        <f>Ram_2!$M$11</f>
        <v>0</v>
      </c>
      <c r="AK50" s="814"/>
      <c r="AL50" s="814"/>
      <c r="AM50" s="814"/>
      <c r="AN50" s="814"/>
      <c r="AO50" s="814"/>
      <c r="AR50" s="841"/>
      <c r="AU50">
        <v>2</v>
      </c>
      <c r="AV50" t="str">
        <f>'Translate&amp;Prices&amp;Logo'!$O$559</f>
        <v>Pionowo</v>
      </c>
      <c r="BD50" s="1" t="s">
        <v>127</v>
      </c>
      <c r="BE50" s="1" t="s">
        <v>2235</v>
      </c>
      <c r="BI50" s="1" t="s">
        <v>420</v>
      </c>
      <c r="BJ50" s="1" t="s">
        <v>479</v>
      </c>
      <c r="BM50" s="1" t="s">
        <v>248</v>
      </c>
      <c r="BN50" s="1" t="s">
        <v>521</v>
      </c>
      <c r="BS50" s="1" t="s">
        <v>242</v>
      </c>
      <c r="BT50" s="1" t="s">
        <v>516</v>
      </c>
      <c r="BX50" s="1">
        <v>3</v>
      </c>
      <c r="BY50" s="1" t="str">
        <f>'Translate&amp;Prices&amp;Logo'!$O$102</f>
        <v>Folia</v>
      </c>
      <c r="CA50" t="s">
        <v>2013</v>
      </c>
      <c r="CB50" t="s">
        <v>2481</v>
      </c>
    </row>
    <row r="51" spans="19:80" ht="16.350000000000001" customHeight="1">
      <c r="W51" s="819" t="str">
        <f>'Translate&amp;Prices&amp;Logo'!$O$258</f>
        <v>Typ okucia</v>
      </c>
      <c r="X51" s="819"/>
      <c r="Y51" s="819"/>
      <c r="Z51" s="819"/>
      <c r="AA51" s="819"/>
      <c r="AB51" s="366"/>
      <c r="AC51" s="814">
        <f>IFERROR(VLOOKUP(Ram_2!$AU$9,AZ48:BA49,2,0),0)</f>
        <v>0</v>
      </c>
      <c r="AD51" s="814"/>
      <c r="AE51" s="814"/>
      <c r="AF51" s="814"/>
      <c r="AG51" s="814"/>
      <c r="AH51" s="814"/>
      <c r="AI51" s="814"/>
      <c r="AJ51" s="814"/>
      <c r="AK51" s="814"/>
      <c r="AL51" s="814"/>
      <c r="AM51" s="814"/>
      <c r="AN51" s="814"/>
      <c r="AO51" s="814"/>
      <c r="AR51" s="841"/>
      <c r="AU51">
        <v>3</v>
      </c>
      <c r="AV51" t="str">
        <f>'Translate&amp;Prices&amp;Logo'!$O$560</f>
        <v>Poziomo i pionowo</v>
      </c>
      <c r="BD51" s="1" t="s">
        <v>125</v>
      </c>
      <c r="BE51" s="1" t="s">
        <v>485</v>
      </c>
      <c r="BI51" s="1" t="s">
        <v>421</v>
      </c>
      <c r="BJ51" s="1" t="s">
        <v>480</v>
      </c>
      <c r="BM51" s="1" t="s">
        <v>247</v>
      </c>
      <c r="BN51" s="1" t="s">
        <v>522</v>
      </c>
      <c r="BS51" s="1" t="s">
        <v>241</v>
      </c>
      <c r="BT51" s="1" t="s">
        <v>517</v>
      </c>
      <c r="CA51" t="s">
        <v>2318</v>
      </c>
      <c r="CB51" t="s">
        <v>2479</v>
      </c>
    </row>
    <row r="52" spans="19:80" ht="16.350000000000001" customHeight="1">
      <c r="W52" s="819" t="str">
        <f>'Translate&amp;Prices&amp;Logo'!$O$544</f>
        <v>Marka okucia</v>
      </c>
      <c r="X52" s="819"/>
      <c r="Y52" s="819"/>
      <c r="Z52" s="819"/>
      <c r="AA52" s="819"/>
      <c r="AB52" s="366"/>
      <c r="AC52" s="814">
        <f>Ram_2!$H$13</f>
        <v>0</v>
      </c>
      <c r="AD52" s="814"/>
      <c r="AE52" s="814"/>
      <c r="AF52" s="814"/>
      <c r="AG52" s="814"/>
      <c r="AH52" s="814"/>
      <c r="AI52" s="814"/>
      <c r="AJ52" s="814"/>
      <c r="AK52" s="814"/>
      <c r="AL52" s="814"/>
      <c r="AM52" s="814"/>
      <c r="AN52" s="814"/>
      <c r="AO52" s="814"/>
      <c r="AR52" s="841"/>
      <c r="BD52" s="1" t="s">
        <v>126</v>
      </c>
      <c r="BE52" s="1" t="s">
        <v>486</v>
      </c>
      <c r="BI52" s="1" t="s">
        <v>740</v>
      </c>
      <c r="BJ52" s="1" t="s">
        <v>479</v>
      </c>
      <c r="BM52" s="1" t="s">
        <v>249</v>
      </c>
      <c r="BN52" s="1" t="s">
        <v>2463</v>
      </c>
      <c r="BS52" s="1" t="s">
        <v>2212</v>
      </c>
      <c r="BT52" s="1" t="s">
        <v>2210</v>
      </c>
      <c r="CA52" t="s">
        <v>2319</v>
      </c>
      <c r="CB52" t="s">
        <v>2480</v>
      </c>
    </row>
    <row r="53" spans="19:80" ht="16.350000000000001" customHeight="1" thickBot="1">
      <c r="W53" s="819" t="str">
        <f>'Translate&amp;Prices&amp;Logo'!$O$546</f>
        <v>Nałożenie</v>
      </c>
      <c r="X53" s="819"/>
      <c r="Y53" s="819"/>
      <c r="Z53" s="819"/>
      <c r="AA53" s="819"/>
      <c r="AB53" s="366"/>
      <c r="AC53" s="814">
        <f>IFERROR(VLOOKUP(Ram_2!$H$14,BD48:BE62,2,0),0)</f>
        <v>0</v>
      </c>
      <c r="AD53" s="814"/>
      <c r="AE53" s="814"/>
      <c r="AF53" s="814"/>
      <c r="AG53" s="814"/>
      <c r="AH53" s="814"/>
      <c r="AI53" s="814"/>
      <c r="AJ53" s="814"/>
      <c r="AK53" s="814"/>
      <c r="AL53" s="814"/>
      <c r="AM53" s="814"/>
      <c r="AN53" s="814"/>
      <c r="AO53" s="814"/>
      <c r="AR53" s="841"/>
      <c r="BD53" s="1" t="s">
        <v>127</v>
      </c>
      <c r="BE53" s="1" t="s">
        <v>2235</v>
      </c>
      <c r="BI53" s="1" t="s">
        <v>556</v>
      </c>
      <c r="BJ53" s="1" t="s">
        <v>480</v>
      </c>
      <c r="BM53" s="1" t="s">
        <v>454</v>
      </c>
      <c r="BN53" s="1" t="s">
        <v>519</v>
      </c>
      <c r="BS53" s="1" t="s">
        <v>252</v>
      </c>
      <c r="BT53" s="1" t="s">
        <v>2462</v>
      </c>
      <c r="CA53" t="s">
        <v>2320</v>
      </c>
      <c r="CB53" t="s">
        <v>2481</v>
      </c>
    </row>
    <row r="54" spans="19:80" ht="16.350000000000001" customHeight="1">
      <c r="S54" s="839">
        <f>Ram_2!AR14</f>
        <v>0</v>
      </c>
      <c r="W54" s="819" t="str">
        <f>'Translate&amp;Prices&amp;Logo'!$O$545</f>
        <v>Wariant okucia</v>
      </c>
      <c r="X54" s="819"/>
      <c r="Y54" s="819"/>
      <c r="Z54" s="819"/>
      <c r="AA54" s="819"/>
      <c r="AB54" s="366"/>
      <c r="AC54" s="814">
        <f>IFERROR(VLOOKUP(Ram_2!$H$15,kombinace_1!$ED:$EE,2,0),Ram_2!$H$15)</f>
        <v>0</v>
      </c>
      <c r="AD54" s="814"/>
      <c r="AE54" s="814"/>
      <c r="AF54" s="814"/>
      <c r="AG54" s="814"/>
      <c r="AH54" s="814"/>
      <c r="AI54" s="814"/>
      <c r="AJ54" s="814"/>
      <c r="AK54" s="814"/>
      <c r="AL54" s="814"/>
      <c r="AM54" s="814"/>
      <c r="AN54" s="814"/>
      <c r="AO54" s="814"/>
      <c r="AR54" s="841"/>
      <c r="BD54" s="1" t="s">
        <v>485</v>
      </c>
      <c r="BE54" s="1" t="s">
        <v>485</v>
      </c>
      <c r="BI54" s="1" t="s">
        <v>2521</v>
      </c>
      <c r="BJ54" s="1" t="s">
        <v>479</v>
      </c>
      <c r="BM54" s="1" t="s">
        <v>455</v>
      </c>
      <c r="BN54" s="1" t="s">
        <v>520</v>
      </c>
      <c r="BS54" s="1" t="s">
        <v>450</v>
      </c>
      <c r="BT54" s="1" t="s">
        <v>516</v>
      </c>
      <c r="CA54" t="s">
        <v>2479</v>
      </c>
      <c r="CB54" t="s">
        <v>2479</v>
      </c>
    </row>
    <row r="55" spans="19:80" ht="16.350000000000001" customHeight="1">
      <c r="S55" s="840">
        <f>Ram_1!AR51</f>
        <v>0</v>
      </c>
      <c r="W55" s="819" t="str">
        <f>'Translate&amp;Prices&amp;Logo'!$O$218</f>
        <v>Wybierz pozycję ramki</v>
      </c>
      <c r="X55" s="819"/>
      <c r="Y55" s="819"/>
      <c r="Z55" s="819"/>
      <c r="AA55" s="819"/>
      <c r="AB55" s="814">
        <f>IFERROR(VLOOKUP(Ram_2!$F$16,BI48:BJ57,2,0),0)</f>
        <v>0</v>
      </c>
      <c r="AC55" s="814"/>
      <c r="AD55" s="814"/>
      <c r="AE55" s="814"/>
      <c r="AF55" s="814"/>
      <c r="AG55" s="819" t="str">
        <f>'Translate&amp;Prices&amp;Logo'!$O$232</f>
        <v>Rodzaj drugiej ramki</v>
      </c>
      <c r="AH55" s="819"/>
      <c r="AI55" s="819"/>
      <c r="AJ55" s="819"/>
      <c r="AK55" s="819"/>
      <c r="AL55" s="814">
        <f>IFERROR(VLOOKUP(Ram_2!$N$16,BM48:BN72,2,0),0)</f>
        <v>0</v>
      </c>
      <c r="AM55" s="814"/>
      <c r="AN55" s="814"/>
      <c r="AO55" s="814"/>
      <c r="AR55" s="841"/>
      <c r="BD55" s="1" t="s">
        <v>486</v>
      </c>
      <c r="BE55" s="1" t="s">
        <v>486</v>
      </c>
      <c r="BI55" s="1" t="s">
        <v>2522</v>
      </c>
      <c r="BJ55" s="1" t="s">
        <v>480</v>
      </c>
      <c r="BM55" s="1" t="s">
        <v>456</v>
      </c>
      <c r="BN55" s="1" t="s">
        <v>521</v>
      </c>
      <c r="BS55" s="1" t="s">
        <v>451</v>
      </c>
      <c r="BT55" s="1" t="s">
        <v>517</v>
      </c>
      <c r="CA55" t="s">
        <v>2480</v>
      </c>
      <c r="CB55" t="s">
        <v>2480</v>
      </c>
    </row>
    <row r="56" spans="19:80" ht="16.350000000000001" customHeight="1">
      <c r="S56" s="840">
        <f>Ram_1!AR52</f>
        <v>0</v>
      </c>
      <c r="W56" s="819" t="str">
        <f>'Translate&amp;Prices&amp;Logo'!$O$238</f>
        <v>Umieszczenie zawiasu</v>
      </c>
      <c r="X56" s="819"/>
      <c r="Y56" s="819"/>
      <c r="Z56" s="819"/>
      <c r="AA56" s="819"/>
      <c r="AB56" s="366"/>
      <c r="AC56" s="814">
        <f>IFERROR(VLOOKUP(Ram_2!$H$17,BS48:BT67,2,0),0)</f>
        <v>0</v>
      </c>
      <c r="AD56" s="814"/>
      <c r="AE56" s="814"/>
      <c r="AF56" s="814"/>
      <c r="AG56" s="814"/>
      <c r="AH56" s="814"/>
      <c r="AI56" s="814"/>
      <c r="AJ56" s="814"/>
      <c r="AK56" s="814"/>
      <c r="AL56" s="814"/>
      <c r="AM56" s="814"/>
      <c r="AN56" s="814"/>
      <c r="AO56" s="814"/>
      <c r="AR56" s="841"/>
      <c r="BD56" s="1" t="s">
        <v>2235</v>
      </c>
      <c r="BE56" s="1" t="s">
        <v>2235</v>
      </c>
      <c r="BI56" s="1" t="s">
        <v>479</v>
      </c>
      <c r="BJ56" s="1" t="s">
        <v>479</v>
      </c>
      <c r="BM56" s="1" t="s">
        <v>457</v>
      </c>
      <c r="BN56" s="1" t="s">
        <v>522</v>
      </c>
      <c r="BS56" s="1" t="s">
        <v>2210</v>
      </c>
      <c r="BT56" s="1" t="s">
        <v>2210</v>
      </c>
      <c r="CA56" t="s">
        <v>2481</v>
      </c>
      <c r="CB56" t="s">
        <v>2481</v>
      </c>
    </row>
    <row r="57" spans="19:80" ht="16.350000000000001" customHeight="1">
      <c r="S57" s="840">
        <f>Ram_1!AR53</f>
        <v>0</v>
      </c>
      <c r="W57" s="819" t="str">
        <f>'Translate&amp;Prices&amp;Logo'!$O$547</f>
        <v>Zawiasy do podnośników</v>
      </c>
      <c r="X57" s="819"/>
      <c r="Y57" s="819"/>
      <c r="Z57" s="819"/>
      <c r="AA57" s="819"/>
      <c r="AB57" s="366"/>
      <c r="AC57" s="814">
        <f>Ram_2!$H$18</f>
        <v>0</v>
      </c>
      <c r="AD57" s="814"/>
      <c r="AE57" s="814"/>
      <c r="AF57" s="814"/>
      <c r="AG57" s="814"/>
      <c r="AH57" s="814"/>
      <c r="AI57" s="814"/>
      <c r="AJ57" s="814"/>
      <c r="AK57" s="814"/>
      <c r="AL57" s="814"/>
      <c r="AM57" s="814"/>
      <c r="AN57" s="814"/>
      <c r="AO57" s="814"/>
      <c r="AR57" s="841"/>
      <c r="BD57" s="1" t="s">
        <v>561</v>
      </c>
      <c r="BE57" s="1" t="s">
        <v>485</v>
      </c>
      <c r="BI57" s="1" t="s">
        <v>480</v>
      </c>
      <c r="BJ57" s="1" t="s">
        <v>480</v>
      </c>
      <c r="BM57" s="1" t="s">
        <v>458</v>
      </c>
      <c r="BN57" s="1" t="s">
        <v>2463</v>
      </c>
      <c r="BS57" s="1" t="s">
        <v>2462</v>
      </c>
      <c r="BT57" s="1" t="s">
        <v>2462</v>
      </c>
      <c r="CA57" t="s">
        <v>2321</v>
      </c>
      <c r="CB57" t="s">
        <v>2479</v>
      </c>
    </row>
    <row r="58" spans="19:80" ht="16.350000000000001" customHeight="1">
      <c r="S58" s="840">
        <f>Ram_1!AR54</f>
        <v>0</v>
      </c>
      <c r="W58" s="819" t="str">
        <f>'Translate&amp;Prices&amp;Logo'!$O$223</f>
        <v>Ilość zawiasów na 1 ramkę</v>
      </c>
      <c r="X58" s="819"/>
      <c r="Y58" s="819"/>
      <c r="Z58" s="819"/>
      <c r="AA58" s="819"/>
      <c r="AB58" s="366"/>
      <c r="AC58" s="814">
        <f>Ram_2!$H$19</f>
        <v>0</v>
      </c>
      <c r="AD58" s="814"/>
      <c r="AE58" s="814"/>
      <c r="AF58" s="814"/>
      <c r="AG58" s="814"/>
      <c r="AH58" s="814"/>
      <c r="AI58" s="814"/>
      <c r="AJ58" s="814"/>
      <c r="AK58" s="814"/>
      <c r="AL58" s="814"/>
      <c r="AM58" s="814"/>
      <c r="AN58" s="814"/>
      <c r="AO58" s="814"/>
      <c r="AR58" s="841"/>
      <c r="BD58" s="1" t="s">
        <v>562</v>
      </c>
      <c r="BE58" s="1" t="s">
        <v>486</v>
      </c>
      <c r="BM58" s="1" t="s">
        <v>519</v>
      </c>
      <c r="BN58" s="1" t="s">
        <v>519</v>
      </c>
      <c r="BS58" s="1" t="s">
        <v>516</v>
      </c>
      <c r="BT58" s="1" t="s">
        <v>516</v>
      </c>
      <c r="CA58" t="s">
        <v>2427</v>
      </c>
      <c r="CB58" t="s">
        <v>2480</v>
      </c>
    </row>
    <row r="59" spans="19:80" ht="16.350000000000001" customHeight="1">
      <c r="S59" s="837" t="str">
        <f>'Translate&amp;Prices&amp;Logo'!$O$176</f>
        <v>Wysokość</v>
      </c>
      <c r="W59" s="819" t="e">
        <f>'Translate&amp;Prices&amp;Logo'!$O$242&amp;" "&amp;VLOOKUP(Ram_2!H17,kombinace_1!$BY$32:$CC$35,5,0)</f>
        <v>#N/A</v>
      </c>
      <c r="X59" s="819"/>
      <c r="Y59" s="819"/>
      <c r="Z59" s="819"/>
      <c r="AA59" s="819"/>
      <c r="AB59" s="814">
        <f>Ram_2!$F$20</f>
        <v>100</v>
      </c>
      <c r="AC59" s="814"/>
      <c r="AD59" s="814"/>
      <c r="AE59" s="814"/>
      <c r="AF59" s="814"/>
      <c r="AG59" s="819" t="e">
        <f>'Translate&amp;Prices&amp;Logo'!$O$242&amp;" "&amp;VLOOKUP(Ram_2!H17,kombinace_1!$BY$32:$CD$35,6,0)</f>
        <v>#N/A</v>
      </c>
      <c r="AH59" s="819"/>
      <c r="AI59" s="819"/>
      <c r="AJ59" s="819"/>
      <c r="AK59" s="819"/>
      <c r="AL59" s="814">
        <f>Ram_2!$N$20</f>
        <v>100</v>
      </c>
      <c r="AM59" s="814"/>
      <c r="AN59" s="814"/>
      <c r="AO59" s="814"/>
      <c r="AR59" s="841"/>
      <c r="BD59" s="1" t="s">
        <v>563</v>
      </c>
      <c r="BE59" s="1" t="s">
        <v>2235</v>
      </c>
      <c r="BM59" s="1" t="s">
        <v>520</v>
      </c>
      <c r="BN59" s="1" t="s">
        <v>520</v>
      </c>
      <c r="BS59" s="1" t="s">
        <v>517</v>
      </c>
      <c r="BT59" s="1" t="s">
        <v>517</v>
      </c>
      <c r="CA59" t="s">
        <v>2322</v>
      </c>
      <c r="CB59" t="s">
        <v>2481</v>
      </c>
    </row>
    <row r="60" spans="19:80" ht="16.350000000000001" customHeight="1">
      <c r="S60" s="837">
        <f>Ram_1!AR56</f>
        <v>0</v>
      </c>
      <c r="W60" s="437"/>
      <c r="X60" s="437"/>
      <c r="Y60" s="437"/>
      <c r="Z60" s="437"/>
      <c r="AA60" s="437"/>
      <c r="AB60" s="438"/>
      <c r="AC60" s="438"/>
      <c r="AD60" s="438"/>
      <c r="AE60" s="438"/>
      <c r="AF60" s="438"/>
      <c r="AG60" s="438"/>
      <c r="AH60" s="438"/>
      <c r="AI60" s="438"/>
      <c r="AJ60" s="438"/>
      <c r="AK60" s="438"/>
      <c r="AL60" s="438"/>
      <c r="AM60" s="438"/>
      <c r="AN60" s="438"/>
      <c r="AO60" s="438"/>
      <c r="AR60" s="841"/>
      <c r="BD60" s="1" t="s">
        <v>2800</v>
      </c>
      <c r="BE60" s="1" t="s">
        <v>485</v>
      </c>
      <c r="BM60" s="1" t="s">
        <v>521</v>
      </c>
      <c r="BN60" s="1" t="s">
        <v>521</v>
      </c>
      <c r="BS60" s="1" t="s">
        <v>2211</v>
      </c>
      <c r="BT60" s="1" t="s">
        <v>2210</v>
      </c>
      <c r="CA60" t="s">
        <v>2577</v>
      </c>
      <c r="CB60" t="s">
        <v>2479</v>
      </c>
    </row>
    <row r="61" spans="19:80" ht="16.350000000000001" customHeight="1">
      <c r="S61" s="837">
        <f>Ram_1!AR57</f>
        <v>0</v>
      </c>
      <c r="W61" s="819" t="str">
        <f>'Translate&amp;Prices&amp;Logo'!$O$173</f>
        <v>Rodzaj szkła</v>
      </c>
      <c r="X61" s="819"/>
      <c r="Y61" s="819"/>
      <c r="Z61" s="819"/>
      <c r="AA61" s="819"/>
      <c r="AB61" s="366"/>
      <c r="AC61" s="814" t="str">
        <f>IFERROR(VLOOKUP(kombinace_2!$V$1,BX48:BY50,2,0),0)</f>
        <v>Bez modyfikacji</v>
      </c>
      <c r="AD61" s="814"/>
      <c r="AE61" s="814"/>
      <c r="AF61" s="814"/>
      <c r="AG61" s="814"/>
      <c r="AH61" s="814"/>
      <c r="AI61" s="814"/>
      <c r="AJ61" s="814"/>
      <c r="AK61" s="814"/>
      <c r="AL61" s="814"/>
      <c r="AM61" s="814"/>
      <c r="AN61" s="814"/>
      <c r="AO61" s="814"/>
      <c r="AR61" s="841"/>
      <c r="BD61" s="1" t="s">
        <v>2651</v>
      </c>
      <c r="BE61" s="1" t="s">
        <v>486</v>
      </c>
      <c r="BM61" s="1" t="s">
        <v>522</v>
      </c>
      <c r="BN61" s="1" t="s">
        <v>522</v>
      </c>
      <c r="BS61" s="1" t="s">
        <v>2213</v>
      </c>
      <c r="BT61" s="1" t="s">
        <v>2462</v>
      </c>
      <c r="CA61" t="s">
        <v>2578</v>
      </c>
      <c r="CB61" t="s">
        <v>2480</v>
      </c>
    </row>
    <row r="62" spans="19:80" ht="16.350000000000001" customHeight="1">
      <c r="S62" s="837">
        <f>Ram_1!AR58</f>
        <v>0</v>
      </c>
      <c r="W62" s="819" t="str">
        <f>'Translate&amp;Prices&amp;Logo'!$O$562</f>
        <v>Rodzaj folii</v>
      </c>
      <c r="X62" s="819"/>
      <c r="Y62" s="819"/>
      <c r="Z62" s="819"/>
      <c r="AA62" s="819"/>
      <c r="AB62" s="366"/>
      <c r="AC62" s="814">
        <f>IFERROR(VLOOKUP(Ram_2!$H$24,CA48:CB62,2,0),0)</f>
        <v>0</v>
      </c>
      <c r="AD62" s="814"/>
      <c r="AE62" s="814"/>
      <c r="AF62" s="814"/>
      <c r="AG62" s="814"/>
      <c r="AH62" s="814"/>
      <c r="AI62" s="814"/>
      <c r="AJ62" s="814"/>
      <c r="AK62" s="814"/>
      <c r="AL62" s="814"/>
      <c r="AM62" s="814"/>
      <c r="AN62" s="814"/>
      <c r="AO62" s="814"/>
      <c r="AR62" s="841"/>
      <c r="BD62" s="1" t="s">
        <v>1781</v>
      </c>
      <c r="BE62" s="1" t="s">
        <v>2235</v>
      </c>
      <c r="BM62" s="1" t="s">
        <v>2463</v>
      </c>
      <c r="BN62" s="1" t="s">
        <v>2463</v>
      </c>
      <c r="BS62" s="1" t="s">
        <v>593</v>
      </c>
      <c r="BT62" s="1" t="s">
        <v>516</v>
      </c>
      <c r="CA62" t="s">
        <v>2579</v>
      </c>
      <c r="CB62" t="s">
        <v>2481</v>
      </c>
    </row>
    <row r="63" spans="19:80" ht="16.350000000000001" customHeight="1" thickBot="1">
      <c r="S63" s="838">
        <f>Ram_1!AR59</f>
        <v>0</v>
      </c>
      <c r="W63" s="819" t="str">
        <f>'Translate&amp;Prices&amp;Logo'!$O$173</f>
        <v>Rodzaj szkła</v>
      </c>
      <c r="X63" s="819"/>
      <c r="Y63" s="819"/>
      <c r="Z63" s="819"/>
      <c r="AA63" s="819"/>
      <c r="AB63" s="366"/>
      <c r="AC63" s="814">
        <f>IFERROR(VLOOKUP(Ram_2!$H$25,kombinace_1!DT:DU,2,0),0)</f>
        <v>0</v>
      </c>
      <c r="AD63" s="814"/>
      <c r="AE63" s="814"/>
      <c r="AF63" s="814"/>
      <c r="AG63" s="814"/>
      <c r="AH63" s="814"/>
      <c r="AI63" s="814"/>
      <c r="AJ63" s="814"/>
      <c r="AK63" s="814"/>
      <c r="AL63" s="814"/>
      <c r="AM63" s="814"/>
      <c r="AN63" s="814"/>
      <c r="AO63" s="814"/>
      <c r="AR63" s="841"/>
      <c r="BM63" s="1" t="s">
        <v>597</v>
      </c>
      <c r="BN63" s="1" t="s">
        <v>519</v>
      </c>
      <c r="BS63" s="1" t="s">
        <v>594</v>
      </c>
      <c r="BT63" s="1" t="s">
        <v>517</v>
      </c>
    </row>
    <row r="64" spans="19:80" ht="16.350000000000001" customHeight="1">
      <c r="W64" s="819" t="str">
        <f>'Translate&amp;Prices&amp;Logo'!$O$549</f>
        <v>Rozstaw uchwytu (mm)</v>
      </c>
      <c r="X64" s="819"/>
      <c r="Y64" s="819"/>
      <c r="Z64" s="819"/>
      <c r="AA64" s="819"/>
      <c r="AB64" s="366"/>
      <c r="AC64" s="814">
        <f>Ram_2!$H$26</f>
        <v>0</v>
      </c>
      <c r="AD64" s="814"/>
      <c r="AE64" s="814"/>
      <c r="AF64" s="814"/>
      <c r="AG64" s="814"/>
      <c r="AH64" s="814"/>
      <c r="AI64" s="814"/>
      <c r="AJ64" s="814"/>
      <c r="AK64" s="814"/>
      <c r="AL64" s="814"/>
      <c r="AM64" s="814"/>
      <c r="AN64" s="814"/>
      <c r="AO64" s="814"/>
      <c r="AR64" s="841"/>
      <c r="BM64" s="1" t="s">
        <v>598</v>
      </c>
      <c r="BN64" s="1" t="s">
        <v>520</v>
      </c>
      <c r="BS64" s="1" t="s">
        <v>2528</v>
      </c>
      <c r="BT64" s="1" t="s">
        <v>2210</v>
      </c>
    </row>
    <row r="65" spans="1:72" ht="16.350000000000001" customHeight="1">
      <c r="W65" s="819" t="str">
        <f>'Translate&amp;Prices&amp;Logo'!$O$550</f>
        <v>Umieszczenie uchwytu</v>
      </c>
      <c r="X65" s="819"/>
      <c r="Y65" s="819"/>
      <c r="Z65" s="819"/>
      <c r="AA65" s="819"/>
      <c r="AB65" s="366"/>
      <c r="AC65" s="814">
        <f>IFERROR(VLOOKUP(Ram_2!$H$27,BS48:BT67,2,0),0)</f>
        <v>0</v>
      </c>
      <c r="AD65" s="814"/>
      <c r="AE65" s="814"/>
      <c r="AF65" s="814"/>
      <c r="AG65" s="814"/>
      <c r="AH65" s="814"/>
      <c r="AI65" s="814"/>
      <c r="AJ65" s="814"/>
      <c r="AK65" s="814"/>
      <c r="AL65" s="814"/>
      <c r="AM65" s="814"/>
      <c r="AN65" s="814"/>
      <c r="AO65" s="814"/>
      <c r="AR65" s="841"/>
      <c r="BM65" s="1" t="s">
        <v>599</v>
      </c>
      <c r="BN65" s="1" t="s">
        <v>521</v>
      </c>
      <c r="BS65" s="1" t="s">
        <v>1855</v>
      </c>
      <c r="BT65" s="1" t="s">
        <v>2462</v>
      </c>
    </row>
    <row r="66" spans="1:72" ht="16.350000000000001" customHeight="1">
      <c r="W66" s="819" t="str">
        <f>('Translate&amp;Prices&amp;Logo'!$O$174)&amp;" "&amp;"-"&amp;" "&amp;('Translate&amp;Prices&amp;Logo'!$O$169)&amp;" "&amp;" "&amp;1</f>
        <v>Ilość sztuk - Ramka  1</v>
      </c>
      <c r="X66" s="819"/>
      <c r="Y66" s="819"/>
      <c r="Z66" s="819"/>
      <c r="AA66" s="819"/>
      <c r="AB66" s="366"/>
      <c r="AC66" s="814">
        <f>Ram_2!$H$28</f>
        <v>0</v>
      </c>
      <c r="AD66" s="814"/>
      <c r="AE66" s="814"/>
      <c r="AF66" s="814"/>
      <c r="AG66" s="814"/>
      <c r="AH66" s="814"/>
      <c r="AI66" s="814"/>
      <c r="AJ66" s="814"/>
      <c r="AK66" s="814"/>
      <c r="AL66" s="814"/>
      <c r="AM66" s="814"/>
      <c r="AN66" s="814"/>
      <c r="AO66" s="814"/>
      <c r="AR66" s="841"/>
      <c r="BM66" s="1" t="s">
        <v>600</v>
      </c>
      <c r="BN66" s="1" t="s">
        <v>522</v>
      </c>
      <c r="BS66" s="1" t="s">
        <v>1814</v>
      </c>
      <c r="BT66" s="1" t="s">
        <v>516</v>
      </c>
    </row>
    <row r="67" spans="1:72" ht="16.350000000000001" customHeight="1">
      <c r="AE67" s="1"/>
      <c r="AF67" s="1"/>
      <c r="AR67" s="841"/>
      <c r="BM67" s="1" t="s">
        <v>2386</v>
      </c>
      <c r="BN67" s="1" t="s">
        <v>2463</v>
      </c>
      <c r="BS67" s="1" t="s">
        <v>1815</v>
      </c>
      <c r="BT67" s="1" t="s">
        <v>517</v>
      </c>
    </row>
    <row r="68" spans="1:72" ht="14.85" customHeight="1">
      <c r="AR68" s="841"/>
      <c r="BM68" s="1" t="s">
        <v>2529</v>
      </c>
      <c r="BN68" s="1" t="s">
        <v>519</v>
      </c>
      <c r="BS68" s="445" t="s">
        <v>3648</v>
      </c>
      <c r="BT68" s="445" t="s">
        <v>3652</v>
      </c>
    </row>
    <row r="69" spans="1:72" ht="14.85" customHeight="1">
      <c r="W69" s="822" t="s">
        <v>2828</v>
      </c>
      <c r="X69" s="822"/>
      <c r="Y69" s="822"/>
      <c r="Z69" s="822"/>
      <c r="AE69" s="822" t="s">
        <v>2829</v>
      </c>
      <c r="AF69" s="822"/>
      <c r="AG69" s="822"/>
      <c r="AH69" s="822"/>
      <c r="AR69" s="841"/>
      <c r="BM69" s="1" t="s">
        <v>2530</v>
      </c>
      <c r="BN69" s="1" t="s">
        <v>520</v>
      </c>
      <c r="BS69" s="445" t="s">
        <v>3649</v>
      </c>
      <c r="BT69" s="445" t="s">
        <v>3653</v>
      </c>
    </row>
    <row r="70" spans="1:72" ht="14.85" customHeight="1">
      <c r="AE70" s="823"/>
      <c r="AF70" s="824"/>
      <c r="AG70" s="824"/>
      <c r="AH70" s="824"/>
      <c r="AI70" s="824"/>
      <c r="AJ70" s="824"/>
      <c r="AK70" s="824"/>
      <c r="AL70" s="824"/>
      <c r="AM70" s="824"/>
      <c r="AN70" s="825"/>
      <c r="AR70" s="841"/>
      <c r="BM70" s="1" t="s">
        <v>2679</v>
      </c>
      <c r="BN70" s="1" t="s">
        <v>521</v>
      </c>
      <c r="BS70" s="445" t="s">
        <v>3650</v>
      </c>
      <c r="BT70" s="445" t="s">
        <v>3654</v>
      </c>
    </row>
    <row r="71" spans="1:72" ht="14.85" customHeight="1">
      <c r="AE71" s="826"/>
      <c r="AF71" s="827"/>
      <c r="AG71" s="827"/>
      <c r="AH71" s="827"/>
      <c r="AI71" s="827"/>
      <c r="AJ71" s="827"/>
      <c r="AK71" s="827"/>
      <c r="AL71" s="827"/>
      <c r="AM71" s="827"/>
      <c r="AN71" s="828"/>
      <c r="AR71" s="841"/>
      <c r="BM71" s="1" t="s">
        <v>2680</v>
      </c>
      <c r="BN71" s="1" t="s">
        <v>522</v>
      </c>
      <c r="BS71" s="445" t="s">
        <v>3651</v>
      </c>
      <c r="BT71" s="445" t="s">
        <v>3655</v>
      </c>
    </row>
    <row r="72" spans="1:72" ht="14.85" customHeight="1">
      <c r="AE72" s="826"/>
      <c r="AF72" s="827"/>
      <c r="AG72" s="827"/>
      <c r="AH72" s="827"/>
      <c r="AI72" s="827"/>
      <c r="AJ72" s="827"/>
      <c r="AK72" s="827"/>
      <c r="AL72" s="827"/>
      <c r="AM72" s="827"/>
      <c r="AN72" s="828"/>
      <c r="AR72" s="841"/>
      <c r="BM72" s="1" t="s">
        <v>2019</v>
      </c>
      <c r="BN72" s="1" t="s">
        <v>2463</v>
      </c>
      <c r="BS72" s="487" t="s">
        <v>243</v>
      </c>
      <c r="BT72" s="445" t="s">
        <v>518</v>
      </c>
    </row>
    <row r="73" spans="1:72" ht="14.85" customHeight="1">
      <c r="D73" s="821">
        <f>IF(OR(Ram_2!$AC$25="x",Ram_2!$AJ$26="x",Ram_2!$AC$9="x",Ram_2!$AJ$7="x",Ram_2!$AB$16="x",Ram_2!$AM$23="x",Ram_2!$AN$19="x",Ram_2!$AD$10="x"),'Translate&amp;Prices&amp;Logo'!$B$588,0)</f>
        <v>0</v>
      </c>
      <c r="E73" s="821"/>
      <c r="F73" s="821"/>
      <c r="G73" s="821"/>
      <c r="H73" s="821"/>
      <c r="I73" s="821"/>
      <c r="J73" s="821"/>
      <c r="K73" s="821"/>
      <c r="L73" s="821"/>
      <c r="M73" s="821"/>
      <c r="N73" s="821"/>
      <c r="O73" s="821"/>
      <c r="P73" s="821"/>
      <c r="AE73" s="826"/>
      <c r="AF73" s="827"/>
      <c r="AG73" s="827"/>
      <c r="AH73" s="827"/>
      <c r="AI73" s="827"/>
      <c r="AJ73" s="827"/>
      <c r="AK73" s="827"/>
      <c r="AL73" s="827"/>
      <c r="AM73" s="827"/>
      <c r="AN73" s="828"/>
      <c r="AR73" s="841"/>
      <c r="BS73" s="445" t="s">
        <v>452</v>
      </c>
      <c r="BT73" s="445" t="s">
        <v>518</v>
      </c>
    </row>
    <row r="74" spans="1:72" ht="14.85" customHeight="1">
      <c r="AE74" s="826"/>
      <c r="AF74" s="827"/>
      <c r="AG74" s="827"/>
      <c r="AH74" s="827"/>
      <c r="AI74" s="827"/>
      <c r="AJ74" s="827"/>
      <c r="AK74" s="827"/>
      <c r="AL74" s="827"/>
      <c r="AM74" s="827"/>
      <c r="AN74" s="828"/>
      <c r="AR74" s="841"/>
      <c r="BS74" s="445" t="s">
        <v>595</v>
      </c>
      <c r="BT74" s="445" t="s">
        <v>518</v>
      </c>
    </row>
    <row r="75" spans="1:72" ht="14.85" customHeight="1" thickBot="1">
      <c r="AE75" s="826"/>
      <c r="AF75" s="827"/>
      <c r="AG75" s="827"/>
      <c r="AH75" s="827"/>
      <c r="AI75" s="827"/>
      <c r="AJ75" s="827"/>
      <c r="AK75" s="827"/>
      <c r="AL75" s="827"/>
      <c r="AM75" s="827"/>
      <c r="AN75" s="828"/>
      <c r="AR75" s="841"/>
      <c r="BS75" s="445" t="s">
        <v>1816</v>
      </c>
      <c r="BT75" s="445" t="s">
        <v>518</v>
      </c>
    </row>
    <row r="76" spans="1:72" ht="14.85" customHeight="1" thickBot="1">
      <c r="G76" s="832" t="str">
        <f>'Translate&amp;Prices&amp;Logo'!$O$175</f>
        <v>Szerokość</v>
      </c>
      <c r="H76" s="833">
        <f>Ram_1!AG66</f>
        <v>0</v>
      </c>
      <c r="I76" s="833">
        <f>Ram_1!AH66</f>
        <v>0</v>
      </c>
      <c r="J76" s="812">
        <f>Ram_2!AI30</f>
        <v>0</v>
      </c>
      <c r="K76" s="812">
        <f>Ram_1!AJ66</f>
        <v>0</v>
      </c>
      <c r="L76" s="813">
        <f>Ram_1!AK66</f>
        <v>0</v>
      </c>
      <c r="AE76" s="826"/>
      <c r="AF76" s="827"/>
      <c r="AG76" s="827"/>
      <c r="AH76" s="827"/>
      <c r="AI76" s="827"/>
      <c r="AJ76" s="827"/>
      <c r="AK76" s="827"/>
      <c r="AL76" s="827"/>
      <c r="AM76" s="827"/>
      <c r="AN76" s="828"/>
      <c r="AR76" s="841"/>
    </row>
    <row r="77" spans="1:72" ht="21" customHeight="1">
      <c r="AE77" s="829"/>
      <c r="AF77" s="830"/>
      <c r="AG77" s="830"/>
      <c r="AH77" s="830"/>
      <c r="AI77" s="830"/>
      <c r="AJ77" s="830"/>
      <c r="AK77" s="830"/>
      <c r="AL77" s="830"/>
      <c r="AM77" s="830"/>
      <c r="AN77" s="831"/>
      <c r="AR77" s="841"/>
    </row>
    <row r="78" spans="1:72" ht="14.85" customHeight="1">
      <c r="AR78" s="841"/>
    </row>
    <row r="79" spans="1:72" ht="14.85" customHeight="1">
      <c r="AR79" s="841"/>
    </row>
    <row r="80" spans="1:72" ht="14.85" customHeight="1" thickBot="1">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435"/>
      <c r="AF80" s="436"/>
      <c r="AG80" s="273"/>
      <c r="AH80" s="273"/>
      <c r="AI80" s="273"/>
      <c r="AJ80" s="273"/>
      <c r="AK80" s="273"/>
      <c r="AL80" s="273"/>
      <c r="AM80" s="273"/>
      <c r="AN80" s="273"/>
      <c r="AO80" s="273"/>
      <c r="AP80" s="273"/>
      <c r="AQ80" s="273"/>
      <c r="AR80" s="273"/>
    </row>
    <row r="81" spans="10:80" ht="35.1" customHeight="1" thickBot="1">
      <c r="J81" s="432"/>
      <c r="K81" s="432"/>
      <c r="L81" s="432"/>
      <c r="M81" s="432"/>
      <c r="N81" s="432"/>
      <c r="O81" s="432"/>
      <c r="P81" s="432"/>
      <c r="Q81" s="432"/>
      <c r="R81" s="432"/>
      <c r="S81" s="432"/>
      <c r="T81" s="432"/>
      <c r="U81" s="432"/>
      <c r="V81" s="432"/>
      <c r="W81" s="818" t="str">
        <f>'Translate&amp;Prices&amp;Logo'!$O$256</f>
        <v>Numer zamówienia</v>
      </c>
      <c r="X81" s="818"/>
      <c r="Y81" s="818"/>
      <c r="Z81" s="818"/>
      <c r="AA81" s="818"/>
      <c r="AB81" s="366"/>
      <c r="AC81" s="815"/>
      <c r="AD81" s="816"/>
      <c r="AE81" s="816"/>
      <c r="AF81" s="816"/>
      <c r="AG81" s="816"/>
      <c r="AH81" s="816"/>
      <c r="AI81" s="816"/>
      <c r="AJ81" s="816"/>
      <c r="AK81" s="816"/>
      <c r="AL81" s="816"/>
      <c r="AM81" s="816"/>
      <c r="AN81" s="816"/>
      <c r="AO81" s="817"/>
      <c r="AR81" s="841" t="s">
        <v>2832</v>
      </c>
    </row>
    <row r="82" spans="10:80" ht="16.350000000000001" customHeight="1">
      <c r="W82" s="819" t="str">
        <f>'Translate&amp;Prices&amp;Logo'!$O$542</f>
        <v>Połączenie 2 profili</v>
      </c>
      <c r="X82" s="819"/>
      <c r="Y82" s="819"/>
      <c r="Z82" s="819"/>
      <c r="AA82" s="819"/>
      <c r="AB82" s="366"/>
      <c r="AC82" s="842" t="str">
        <f>IF(kombinace_3!$H$1=TRUE,"Tak","Nie")</f>
        <v>Nie</v>
      </c>
      <c r="AD82" s="842"/>
      <c r="AE82" s="842"/>
      <c r="AF82" s="842"/>
      <c r="AG82" s="842"/>
      <c r="AH82" s="842"/>
      <c r="AI82" s="842"/>
      <c r="AJ82" s="842"/>
      <c r="AK82" s="842"/>
      <c r="AL82" s="842"/>
      <c r="AM82" s="842"/>
      <c r="AN82" s="842"/>
      <c r="AO82" s="842"/>
      <c r="AR82" s="841"/>
    </row>
    <row r="83" spans="10:80" ht="16.350000000000001" customHeight="1">
      <c r="W83" s="819" t="str">
        <f>'Translate&amp;Prices&amp;Logo'!$O$172</f>
        <v>Rodzaj profilu</v>
      </c>
      <c r="X83" s="819"/>
      <c r="Y83" s="819"/>
      <c r="Z83" s="819"/>
      <c r="AA83" s="819"/>
      <c r="AB83" s="366"/>
      <c r="AC83" s="814">
        <f>IFERROR(VLOOKUP(Ram_3!$H$8,kombinace_1!DW:DY,2,0),0)</f>
        <v>0</v>
      </c>
      <c r="AD83" s="814"/>
      <c r="AE83" s="814"/>
      <c r="AF83" s="814"/>
      <c r="AG83" s="814"/>
      <c r="AH83" s="814"/>
      <c r="AI83" s="814"/>
      <c r="AJ83" s="814"/>
      <c r="AK83" s="814"/>
      <c r="AL83" s="814"/>
      <c r="AM83" s="814"/>
      <c r="AN83" s="814"/>
      <c r="AO83" s="814"/>
      <c r="AR83" s="841"/>
    </row>
    <row r="84" spans="10:80" ht="16.350000000000001" customHeight="1">
      <c r="W84" s="819" t="str">
        <f>'Translate&amp;Prices&amp;Logo'!$O$543</f>
        <v>Szprosy</v>
      </c>
      <c r="X84" s="819"/>
      <c r="Y84" s="819"/>
      <c r="Z84" s="819"/>
      <c r="AA84" s="819"/>
      <c r="AB84" s="366"/>
      <c r="AC84" s="814" t="str">
        <f>IFERROR(VLOOKUP(Ram_3!$AU$10,AU84:AV87,2,0),0)</f>
        <v>Nie</v>
      </c>
      <c r="AD84" s="814"/>
      <c r="AE84" s="814"/>
      <c r="AF84" s="814"/>
      <c r="AG84" s="814"/>
      <c r="AH84" s="814"/>
      <c r="AI84" s="814"/>
      <c r="AJ84" s="814"/>
      <c r="AK84" s="814"/>
      <c r="AL84" s="814"/>
      <c r="AM84" s="814"/>
      <c r="AN84" s="814"/>
      <c r="AO84" s="814"/>
      <c r="AR84" s="841"/>
      <c r="AU84">
        <v>0</v>
      </c>
      <c r="AV84" t="str">
        <f>'Translate&amp;Prices&amp;Logo'!$O$557</f>
        <v>Nie</v>
      </c>
      <c r="AZ84">
        <v>2</v>
      </c>
      <c r="BA84" t="str">
        <f>'Translate&amp;Prices&amp;Logo'!$O$551</f>
        <v>Zawiasy</v>
      </c>
      <c r="BD84" s="1" t="s">
        <v>125</v>
      </c>
      <c r="BE84" s="1" t="s">
        <v>485</v>
      </c>
      <c r="BI84" s="1" t="s">
        <v>98</v>
      </c>
      <c r="BJ84" s="1" t="s">
        <v>479</v>
      </c>
      <c r="BM84" s="1" t="s">
        <v>245</v>
      </c>
      <c r="BN84" s="1" t="s">
        <v>519</v>
      </c>
      <c r="BS84" s="1" t="s">
        <v>251</v>
      </c>
      <c r="BT84" s="1" t="s">
        <v>2210</v>
      </c>
      <c r="BX84" s="1">
        <v>1</v>
      </c>
      <c r="BY84" s="1" t="str">
        <f>'Translate&amp;Prices&amp;Logo'!$O$100</f>
        <v>Bez modyfikacji</v>
      </c>
      <c r="CA84" t="s">
        <v>2007</v>
      </c>
      <c r="CB84" t="s">
        <v>2479</v>
      </c>
    </row>
    <row r="85" spans="10:80" ht="16.350000000000001" customHeight="1">
      <c r="W85" s="437"/>
      <c r="X85" s="437"/>
      <c r="Y85" s="437"/>
      <c r="Z85" s="437"/>
      <c r="AA85" s="437"/>
      <c r="AB85" s="438"/>
      <c r="AC85" s="843" t="str">
        <f>'Translate&amp;Prices&amp;Logo'!$O$558</f>
        <v>Poziomo</v>
      </c>
      <c r="AD85" s="843"/>
      <c r="AE85" s="843"/>
      <c r="AF85" s="843"/>
      <c r="AG85" s="843"/>
      <c r="AH85" s="843"/>
      <c r="AI85" s="843"/>
      <c r="AJ85" s="843" t="str">
        <f>'Translate&amp;Prices&amp;Logo'!$O$559</f>
        <v>Pionowo</v>
      </c>
      <c r="AK85" s="843"/>
      <c r="AL85" s="843"/>
      <c r="AM85" s="843"/>
      <c r="AN85" s="843"/>
      <c r="AO85" s="843"/>
      <c r="AR85" s="841"/>
      <c r="AU85">
        <v>1</v>
      </c>
      <c r="AV85" t="str">
        <f>'Translate&amp;Prices&amp;Logo'!$O$558</f>
        <v>Poziomo</v>
      </c>
      <c r="AZ85">
        <v>3</v>
      </c>
      <c r="BA85" t="str">
        <f>'Translate&amp;Prices&amp;Logo'!$O$552</f>
        <v>Podnośniki</v>
      </c>
      <c r="BD85" s="1" t="s">
        <v>126</v>
      </c>
      <c r="BE85" s="1" t="s">
        <v>486</v>
      </c>
      <c r="BI85" s="1" t="s">
        <v>97</v>
      </c>
      <c r="BJ85" s="1" t="s">
        <v>480</v>
      </c>
      <c r="BM85" s="1" t="s">
        <v>246</v>
      </c>
      <c r="BN85" s="1" t="s">
        <v>520</v>
      </c>
      <c r="BS85" s="1" t="s">
        <v>252</v>
      </c>
      <c r="BT85" s="1" t="s">
        <v>2462</v>
      </c>
      <c r="BX85" s="1">
        <v>2</v>
      </c>
      <c r="BY85" s="1" t="str">
        <f>'Translate&amp;Prices&amp;Logo'!$O$101</f>
        <v>Hartowane</v>
      </c>
      <c r="CA85" t="s">
        <v>2010</v>
      </c>
      <c r="CB85" t="s">
        <v>2480</v>
      </c>
    </row>
    <row r="86" spans="10:80" ht="16.350000000000001" customHeight="1">
      <c r="W86" s="819" t="str">
        <f>('Translate&amp;Prices&amp;Logo'!$O$543)&amp;" "&amp;"("&amp;'Translate&amp;Prices&amp;Logo'!$O$174&amp;")"</f>
        <v>Szprosy (Ilość sztuk)</v>
      </c>
      <c r="X86" s="819"/>
      <c r="Y86" s="819"/>
      <c r="Z86" s="819"/>
      <c r="AA86" s="819"/>
      <c r="AB86" s="366"/>
      <c r="AC86" s="814">
        <f>Ram_3!$H$11</f>
        <v>0</v>
      </c>
      <c r="AD86" s="814"/>
      <c r="AE86" s="814"/>
      <c r="AF86" s="814"/>
      <c r="AG86" s="814"/>
      <c r="AH86" s="814"/>
      <c r="AI86" s="814"/>
      <c r="AJ86" s="814">
        <f>Ram_3!$M$11</f>
        <v>0</v>
      </c>
      <c r="AK86" s="814"/>
      <c r="AL86" s="814"/>
      <c r="AM86" s="814"/>
      <c r="AN86" s="814"/>
      <c r="AO86" s="814"/>
      <c r="AR86" s="841"/>
      <c r="AU86">
        <v>2</v>
      </c>
      <c r="AV86" t="str">
        <f>'Translate&amp;Prices&amp;Logo'!$O$559</f>
        <v>Pionowo</v>
      </c>
      <c r="BD86" s="1" t="s">
        <v>127</v>
      </c>
      <c r="BE86" s="1" t="s">
        <v>2235</v>
      </c>
      <c r="BI86" s="1" t="s">
        <v>420</v>
      </c>
      <c r="BJ86" s="1" t="s">
        <v>479</v>
      </c>
      <c r="BM86" s="1" t="s">
        <v>248</v>
      </c>
      <c r="BN86" s="1" t="s">
        <v>521</v>
      </c>
      <c r="BS86" s="1" t="s">
        <v>242</v>
      </c>
      <c r="BT86" s="1" t="s">
        <v>516</v>
      </c>
      <c r="BX86" s="1">
        <v>3</v>
      </c>
      <c r="BY86" s="1" t="str">
        <f>'Translate&amp;Prices&amp;Logo'!$O$102</f>
        <v>Folia</v>
      </c>
      <c r="CA86" t="s">
        <v>2013</v>
      </c>
      <c r="CB86" t="s">
        <v>2481</v>
      </c>
    </row>
    <row r="87" spans="10:80" ht="16.350000000000001" customHeight="1">
      <c r="W87" s="819" t="str">
        <f>'Translate&amp;Prices&amp;Logo'!$O$258</f>
        <v>Typ okucia</v>
      </c>
      <c r="X87" s="819"/>
      <c r="Y87" s="819"/>
      <c r="Z87" s="819"/>
      <c r="AA87" s="819"/>
      <c r="AB87" s="366"/>
      <c r="AC87" s="814">
        <f>IFERROR(VLOOKUP(Ram_3!$AU$9,AZ84:BA85,2,0),0)</f>
        <v>0</v>
      </c>
      <c r="AD87" s="814"/>
      <c r="AE87" s="814"/>
      <c r="AF87" s="814"/>
      <c r="AG87" s="814"/>
      <c r="AH87" s="814"/>
      <c r="AI87" s="814"/>
      <c r="AJ87" s="814"/>
      <c r="AK87" s="814"/>
      <c r="AL87" s="814"/>
      <c r="AM87" s="814"/>
      <c r="AN87" s="814"/>
      <c r="AO87" s="814"/>
      <c r="AR87" s="841"/>
      <c r="AU87">
        <v>3</v>
      </c>
      <c r="AV87" t="str">
        <f>'Translate&amp;Prices&amp;Logo'!$O$560</f>
        <v>Poziomo i pionowo</v>
      </c>
      <c r="BD87" s="1" t="s">
        <v>125</v>
      </c>
      <c r="BE87" s="1" t="s">
        <v>485</v>
      </c>
      <c r="BI87" s="1" t="s">
        <v>421</v>
      </c>
      <c r="BJ87" s="1" t="s">
        <v>480</v>
      </c>
      <c r="BM87" s="1" t="s">
        <v>247</v>
      </c>
      <c r="BN87" s="1" t="s">
        <v>522</v>
      </c>
      <c r="BS87" s="1" t="s">
        <v>241</v>
      </c>
      <c r="BT87" s="1" t="s">
        <v>517</v>
      </c>
      <c r="CA87" t="s">
        <v>2318</v>
      </c>
      <c r="CB87" t="s">
        <v>2479</v>
      </c>
    </row>
    <row r="88" spans="10:80" ht="16.350000000000001" customHeight="1">
      <c r="W88" s="819" t="str">
        <f>'Translate&amp;Prices&amp;Logo'!$O$544</f>
        <v>Marka okucia</v>
      </c>
      <c r="X88" s="819"/>
      <c r="Y88" s="819"/>
      <c r="Z88" s="819"/>
      <c r="AA88" s="819"/>
      <c r="AB88" s="366"/>
      <c r="AC88" s="814">
        <f>Ram_3!$H$13</f>
        <v>0</v>
      </c>
      <c r="AD88" s="814"/>
      <c r="AE88" s="814"/>
      <c r="AF88" s="814"/>
      <c r="AG88" s="814"/>
      <c r="AH88" s="814"/>
      <c r="AI88" s="814"/>
      <c r="AJ88" s="814"/>
      <c r="AK88" s="814"/>
      <c r="AL88" s="814"/>
      <c r="AM88" s="814"/>
      <c r="AN88" s="814"/>
      <c r="AO88" s="814"/>
      <c r="AR88" s="841"/>
      <c r="BD88" s="1" t="s">
        <v>126</v>
      </c>
      <c r="BE88" s="1" t="s">
        <v>486</v>
      </c>
      <c r="BI88" s="1" t="s">
        <v>740</v>
      </c>
      <c r="BJ88" s="1" t="s">
        <v>479</v>
      </c>
      <c r="BM88" s="1" t="s">
        <v>249</v>
      </c>
      <c r="BN88" s="1" t="s">
        <v>2463</v>
      </c>
      <c r="BS88" s="1" t="s">
        <v>2212</v>
      </c>
      <c r="BT88" s="1" t="s">
        <v>2210</v>
      </c>
      <c r="CA88" t="s">
        <v>2319</v>
      </c>
      <c r="CB88" t="s">
        <v>2480</v>
      </c>
    </row>
    <row r="89" spans="10:80" ht="16.350000000000001" customHeight="1" thickBot="1">
      <c r="W89" s="819" t="str">
        <f>'Translate&amp;Prices&amp;Logo'!$O$546</f>
        <v>Nałożenie</v>
      </c>
      <c r="X89" s="819"/>
      <c r="Y89" s="819"/>
      <c r="Z89" s="819"/>
      <c r="AA89" s="819"/>
      <c r="AB89" s="366"/>
      <c r="AC89" s="814">
        <f>IFERROR(VLOOKUP(Ram_3!$H$14,BD84:BE98,2,0),0)</f>
        <v>0</v>
      </c>
      <c r="AD89" s="814"/>
      <c r="AE89" s="814"/>
      <c r="AF89" s="814"/>
      <c r="AG89" s="814"/>
      <c r="AH89" s="814"/>
      <c r="AI89" s="814"/>
      <c r="AJ89" s="814"/>
      <c r="AK89" s="814"/>
      <c r="AL89" s="814"/>
      <c r="AM89" s="814"/>
      <c r="AN89" s="814"/>
      <c r="AO89" s="814"/>
      <c r="AR89" s="841"/>
      <c r="BD89" s="1" t="s">
        <v>127</v>
      </c>
      <c r="BE89" s="1" t="s">
        <v>2235</v>
      </c>
      <c r="BI89" s="1" t="s">
        <v>556</v>
      </c>
      <c r="BJ89" s="1" t="s">
        <v>480</v>
      </c>
      <c r="BM89" s="1" t="s">
        <v>454</v>
      </c>
      <c r="BN89" s="1" t="s">
        <v>519</v>
      </c>
      <c r="BS89" s="1" t="s">
        <v>252</v>
      </c>
      <c r="BT89" s="1" t="s">
        <v>2462</v>
      </c>
      <c r="CA89" t="s">
        <v>2320</v>
      </c>
      <c r="CB89" t="s">
        <v>2481</v>
      </c>
    </row>
    <row r="90" spans="10:80" ht="16.350000000000001" customHeight="1">
      <c r="S90" s="839">
        <f>Ram_3!AR14</f>
        <v>0</v>
      </c>
      <c r="W90" s="819" t="str">
        <f>'Translate&amp;Prices&amp;Logo'!$O$545</f>
        <v>Wariant okucia</v>
      </c>
      <c r="X90" s="819"/>
      <c r="Y90" s="819"/>
      <c r="Z90" s="819"/>
      <c r="AA90" s="819"/>
      <c r="AB90" s="366"/>
      <c r="AC90" s="814">
        <f>IFERROR(VLOOKUP(Ram_3!$H$15,kombinace_1!$ED:$EE,2,0),Ram_3!$H$15)</f>
        <v>0</v>
      </c>
      <c r="AD90" s="814"/>
      <c r="AE90" s="814"/>
      <c r="AF90" s="814"/>
      <c r="AG90" s="814"/>
      <c r="AH90" s="814"/>
      <c r="AI90" s="814"/>
      <c r="AJ90" s="814"/>
      <c r="AK90" s="814"/>
      <c r="AL90" s="814"/>
      <c r="AM90" s="814"/>
      <c r="AN90" s="814"/>
      <c r="AO90" s="814"/>
      <c r="AR90" s="841"/>
      <c r="BD90" s="1" t="s">
        <v>485</v>
      </c>
      <c r="BE90" s="1" t="s">
        <v>485</v>
      </c>
      <c r="BI90" s="1" t="s">
        <v>2521</v>
      </c>
      <c r="BJ90" s="1" t="s">
        <v>479</v>
      </c>
      <c r="BM90" s="1" t="s">
        <v>455</v>
      </c>
      <c r="BN90" s="1" t="s">
        <v>520</v>
      </c>
      <c r="BS90" s="1" t="s">
        <v>450</v>
      </c>
      <c r="BT90" s="1" t="s">
        <v>516</v>
      </c>
      <c r="CA90" t="s">
        <v>2479</v>
      </c>
      <c r="CB90" t="s">
        <v>2479</v>
      </c>
    </row>
    <row r="91" spans="10:80" ht="16.350000000000001" customHeight="1">
      <c r="S91" s="840">
        <f>Ram_1!AR87</f>
        <v>0</v>
      </c>
      <c r="W91" s="819" t="str">
        <f>'Translate&amp;Prices&amp;Logo'!$O$218</f>
        <v>Wybierz pozycję ramki</v>
      </c>
      <c r="X91" s="819"/>
      <c r="Y91" s="819"/>
      <c r="Z91" s="819"/>
      <c r="AA91" s="819"/>
      <c r="AB91" s="814">
        <f>IFERROR(VLOOKUP(Ram_3!$F$16,BI84:BJ93,2,0),0)</f>
        <v>0</v>
      </c>
      <c r="AC91" s="814"/>
      <c r="AD91" s="814"/>
      <c r="AE91" s="814"/>
      <c r="AF91" s="814"/>
      <c r="AG91" s="819" t="str">
        <f>'Translate&amp;Prices&amp;Logo'!$O$232</f>
        <v>Rodzaj drugiej ramki</v>
      </c>
      <c r="AH91" s="819"/>
      <c r="AI91" s="819"/>
      <c r="AJ91" s="819"/>
      <c r="AK91" s="819"/>
      <c r="AL91" s="814">
        <f>IFERROR(VLOOKUP(Ram_3!$N$16,BM84:BN108,2,0),0)</f>
        <v>0</v>
      </c>
      <c r="AM91" s="814"/>
      <c r="AN91" s="814"/>
      <c r="AO91" s="814"/>
      <c r="AR91" s="841"/>
      <c r="BD91" s="1" t="s">
        <v>486</v>
      </c>
      <c r="BE91" s="1" t="s">
        <v>486</v>
      </c>
      <c r="BI91" s="1" t="s">
        <v>2522</v>
      </c>
      <c r="BJ91" s="1" t="s">
        <v>480</v>
      </c>
      <c r="BM91" s="1" t="s">
        <v>456</v>
      </c>
      <c r="BN91" s="1" t="s">
        <v>521</v>
      </c>
      <c r="BS91" s="1" t="s">
        <v>451</v>
      </c>
      <c r="BT91" s="1" t="s">
        <v>517</v>
      </c>
      <c r="CA91" t="s">
        <v>2480</v>
      </c>
      <c r="CB91" t="s">
        <v>2480</v>
      </c>
    </row>
    <row r="92" spans="10:80" ht="16.350000000000001" customHeight="1">
      <c r="S92" s="840">
        <f>Ram_1!AR88</f>
        <v>0</v>
      </c>
      <c r="W92" s="819" t="str">
        <f>'Translate&amp;Prices&amp;Logo'!$O$238</f>
        <v>Umieszczenie zawiasu</v>
      </c>
      <c r="X92" s="819"/>
      <c r="Y92" s="819"/>
      <c r="Z92" s="819"/>
      <c r="AA92" s="819"/>
      <c r="AB92" s="366"/>
      <c r="AC92" s="814">
        <f>IFERROR(VLOOKUP(Ram_3!$H$17,BS84:BT103,2,0),0)</f>
        <v>0</v>
      </c>
      <c r="AD92" s="814"/>
      <c r="AE92" s="814"/>
      <c r="AF92" s="814"/>
      <c r="AG92" s="814"/>
      <c r="AH92" s="814"/>
      <c r="AI92" s="814"/>
      <c r="AJ92" s="814"/>
      <c r="AK92" s="814"/>
      <c r="AL92" s="814"/>
      <c r="AM92" s="814"/>
      <c r="AN92" s="814"/>
      <c r="AO92" s="814"/>
      <c r="AR92" s="841"/>
      <c r="BD92" s="1" t="s">
        <v>2235</v>
      </c>
      <c r="BE92" s="1" t="s">
        <v>2235</v>
      </c>
      <c r="BI92" s="1" t="s">
        <v>479</v>
      </c>
      <c r="BJ92" s="1" t="s">
        <v>479</v>
      </c>
      <c r="BM92" s="1" t="s">
        <v>457</v>
      </c>
      <c r="BN92" s="1" t="s">
        <v>522</v>
      </c>
      <c r="BS92" s="1" t="s">
        <v>2210</v>
      </c>
      <c r="BT92" s="1" t="s">
        <v>2210</v>
      </c>
      <c r="CA92" t="s">
        <v>2481</v>
      </c>
      <c r="CB92" t="s">
        <v>2481</v>
      </c>
    </row>
    <row r="93" spans="10:80" ht="16.350000000000001" customHeight="1">
      <c r="S93" s="840">
        <f>Ram_1!AR89</f>
        <v>0</v>
      </c>
      <c r="W93" s="819" t="str">
        <f>'Translate&amp;Prices&amp;Logo'!$O$547</f>
        <v>Zawiasy do podnośników</v>
      </c>
      <c r="X93" s="819"/>
      <c r="Y93" s="819"/>
      <c r="Z93" s="819"/>
      <c r="AA93" s="819"/>
      <c r="AB93" s="366"/>
      <c r="AC93" s="814">
        <f>Ram_3!$H$18</f>
        <v>0</v>
      </c>
      <c r="AD93" s="814"/>
      <c r="AE93" s="814"/>
      <c r="AF93" s="814"/>
      <c r="AG93" s="814"/>
      <c r="AH93" s="814"/>
      <c r="AI93" s="814"/>
      <c r="AJ93" s="814"/>
      <c r="AK93" s="814"/>
      <c r="AL93" s="814"/>
      <c r="AM93" s="814"/>
      <c r="AN93" s="814"/>
      <c r="AO93" s="814"/>
      <c r="AR93" s="841"/>
      <c r="BD93" s="1" t="s">
        <v>561</v>
      </c>
      <c r="BE93" s="1" t="s">
        <v>485</v>
      </c>
      <c r="BI93" s="1" t="s">
        <v>480</v>
      </c>
      <c r="BJ93" s="1" t="s">
        <v>480</v>
      </c>
      <c r="BM93" s="1" t="s">
        <v>458</v>
      </c>
      <c r="BN93" s="1" t="s">
        <v>2463</v>
      </c>
      <c r="BS93" s="1" t="s">
        <v>2462</v>
      </c>
      <c r="BT93" s="1" t="s">
        <v>2462</v>
      </c>
      <c r="CA93" t="s">
        <v>2321</v>
      </c>
      <c r="CB93" t="s">
        <v>2479</v>
      </c>
    </row>
    <row r="94" spans="10:80" ht="16.350000000000001" customHeight="1">
      <c r="S94" s="840">
        <f>Ram_1!AR90</f>
        <v>0</v>
      </c>
      <c r="W94" s="819" t="str">
        <f>'Translate&amp;Prices&amp;Logo'!$O$223</f>
        <v>Ilość zawiasów na 1 ramkę</v>
      </c>
      <c r="X94" s="819"/>
      <c r="Y94" s="819"/>
      <c r="Z94" s="819"/>
      <c r="AA94" s="819"/>
      <c r="AB94" s="366"/>
      <c r="AC94" s="814">
        <f>Ram_3!$H$19</f>
        <v>0</v>
      </c>
      <c r="AD94" s="814"/>
      <c r="AE94" s="814"/>
      <c r="AF94" s="814"/>
      <c r="AG94" s="814"/>
      <c r="AH94" s="814"/>
      <c r="AI94" s="814"/>
      <c r="AJ94" s="814"/>
      <c r="AK94" s="814"/>
      <c r="AL94" s="814"/>
      <c r="AM94" s="814"/>
      <c r="AN94" s="814"/>
      <c r="AO94" s="814"/>
      <c r="AR94" s="841"/>
      <c r="BD94" s="1" t="s">
        <v>562</v>
      </c>
      <c r="BE94" s="1" t="s">
        <v>486</v>
      </c>
      <c r="BM94" s="1" t="s">
        <v>519</v>
      </c>
      <c r="BN94" s="1" t="s">
        <v>519</v>
      </c>
      <c r="BS94" s="1" t="s">
        <v>516</v>
      </c>
      <c r="BT94" s="1" t="s">
        <v>516</v>
      </c>
      <c r="CA94" t="s">
        <v>2427</v>
      </c>
      <c r="CB94" t="s">
        <v>2480</v>
      </c>
    </row>
    <row r="95" spans="10:80" ht="16.350000000000001" customHeight="1">
      <c r="S95" s="837" t="str">
        <f>'Translate&amp;Prices&amp;Logo'!$O$176</f>
        <v>Wysokość</v>
      </c>
      <c r="W95" s="819" t="e">
        <f>'Translate&amp;Prices&amp;Logo'!$O$242&amp;" "&amp;VLOOKUP(Ram_3!H17,kombinace_1!$BY$32:$CC$35,5,0)</f>
        <v>#N/A</v>
      </c>
      <c r="X95" s="819"/>
      <c r="Y95" s="819"/>
      <c r="Z95" s="819"/>
      <c r="AA95" s="819"/>
      <c r="AB95" s="814">
        <f>Ram_3!$F$20</f>
        <v>100</v>
      </c>
      <c r="AC95" s="814"/>
      <c r="AD95" s="814"/>
      <c r="AE95" s="814"/>
      <c r="AF95" s="814"/>
      <c r="AG95" s="819" t="e">
        <f>'Translate&amp;Prices&amp;Logo'!$O$242&amp;" "&amp;VLOOKUP(Ram_3!H17,kombinace_1!$BY$32:$CD$35,6,0)</f>
        <v>#N/A</v>
      </c>
      <c r="AH95" s="819"/>
      <c r="AI95" s="819"/>
      <c r="AJ95" s="819"/>
      <c r="AK95" s="819"/>
      <c r="AL95" s="814">
        <f>Ram_3!$N$20</f>
        <v>100</v>
      </c>
      <c r="AM95" s="814"/>
      <c r="AN95" s="814"/>
      <c r="AO95" s="814"/>
      <c r="AR95" s="841"/>
      <c r="BD95" s="1" t="s">
        <v>563</v>
      </c>
      <c r="BE95" s="1" t="s">
        <v>2235</v>
      </c>
      <c r="BM95" s="1" t="s">
        <v>520</v>
      </c>
      <c r="BN95" s="1" t="s">
        <v>520</v>
      </c>
      <c r="BS95" s="1" t="s">
        <v>517</v>
      </c>
      <c r="BT95" s="1" t="s">
        <v>517</v>
      </c>
      <c r="CA95" t="s">
        <v>2322</v>
      </c>
      <c r="CB95" t="s">
        <v>2481</v>
      </c>
    </row>
    <row r="96" spans="10:80" ht="16.350000000000001" customHeight="1">
      <c r="S96" s="837">
        <f>Ram_1!AR92</f>
        <v>0</v>
      </c>
      <c r="W96" s="437"/>
      <c r="X96" s="437"/>
      <c r="Y96" s="437"/>
      <c r="Z96" s="437"/>
      <c r="AA96" s="437"/>
      <c r="AB96" s="438"/>
      <c r="AC96" s="438"/>
      <c r="AD96" s="438"/>
      <c r="AE96" s="438"/>
      <c r="AF96" s="438"/>
      <c r="AG96" s="438"/>
      <c r="AH96" s="438"/>
      <c r="AI96" s="438"/>
      <c r="AJ96" s="438"/>
      <c r="AK96" s="438"/>
      <c r="AL96" s="438"/>
      <c r="AM96" s="438"/>
      <c r="AN96" s="438"/>
      <c r="AO96" s="438"/>
      <c r="AR96" s="841"/>
      <c r="BD96" s="1" t="s">
        <v>2800</v>
      </c>
      <c r="BE96" s="1" t="s">
        <v>485</v>
      </c>
      <c r="BM96" s="1" t="s">
        <v>521</v>
      </c>
      <c r="BN96" s="1" t="s">
        <v>521</v>
      </c>
      <c r="BS96" s="1" t="s">
        <v>2211</v>
      </c>
      <c r="BT96" s="1" t="s">
        <v>2210</v>
      </c>
      <c r="CA96" t="s">
        <v>2577</v>
      </c>
      <c r="CB96" t="s">
        <v>2479</v>
      </c>
    </row>
    <row r="97" spans="4:80" ht="16.350000000000001" customHeight="1">
      <c r="S97" s="837">
        <f>Ram_1!AR93</f>
        <v>0</v>
      </c>
      <c r="W97" s="819" t="str">
        <f>'Translate&amp;Prices&amp;Logo'!$O$173</f>
        <v>Rodzaj szkła</v>
      </c>
      <c r="X97" s="819"/>
      <c r="Y97" s="819"/>
      <c r="Z97" s="819"/>
      <c r="AA97" s="819"/>
      <c r="AB97" s="366"/>
      <c r="AC97" s="814" t="str">
        <f>IFERROR(VLOOKUP(kombinace_3!$V$1,BX84:BY86,2,0),0)</f>
        <v>Bez modyfikacji</v>
      </c>
      <c r="AD97" s="814"/>
      <c r="AE97" s="814"/>
      <c r="AF97" s="814"/>
      <c r="AG97" s="814"/>
      <c r="AH97" s="814"/>
      <c r="AI97" s="814"/>
      <c r="AJ97" s="814"/>
      <c r="AK97" s="814"/>
      <c r="AL97" s="814"/>
      <c r="AM97" s="814"/>
      <c r="AN97" s="814"/>
      <c r="AO97" s="814"/>
      <c r="AR97" s="841"/>
      <c r="BD97" s="1" t="s">
        <v>2651</v>
      </c>
      <c r="BE97" s="1" t="s">
        <v>486</v>
      </c>
      <c r="BM97" s="1" t="s">
        <v>522</v>
      </c>
      <c r="BN97" s="1" t="s">
        <v>522</v>
      </c>
      <c r="BS97" s="1" t="s">
        <v>2213</v>
      </c>
      <c r="BT97" s="1" t="s">
        <v>2462</v>
      </c>
      <c r="CA97" t="s">
        <v>2578</v>
      </c>
      <c r="CB97" t="s">
        <v>2480</v>
      </c>
    </row>
    <row r="98" spans="4:80" ht="16.350000000000001" customHeight="1">
      <c r="S98" s="837">
        <f>Ram_1!AR94</f>
        <v>0</v>
      </c>
      <c r="W98" s="819" t="str">
        <f>'Translate&amp;Prices&amp;Logo'!$O$562</f>
        <v>Rodzaj folii</v>
      </c>
      <c r="X98" s="819"/>
      <c r="Y98" s="819"/>
      <c r="Z98" s="819"/>
      <c r="AA98" s="819"/>
      <c r="AB98" s="366"/>
      <c r="AC98" s="814">
        <f>IFERROR(VLOOKUP(Ram_3!$H$24,CA84:CB98,2,0),0)</f>
        <v>0</v>
      </c>
      <c r="AD98" s="814"/>
      <c r="AE98" s="814"/>
      <c r="AF98" s="814"/>
      <c r="AG98" s="814"/>
      <c r="AH98" s="814"/>
      <c r="AI98" s="814"/>
      <c r="AJ98" s="814"/>
      <c r="AK98" s="814"/>
      <c r="AL98" s="814"/>
      <c r="AM98" s="814"/>
      <c r="AN98" s="814"/>
      <c r="AO98" s="814"/>
      <c r="AR98" s="841"/>
      <c r="BD98" s="1" t="s">
        <v>1781</v>
      </c>
      <c r="BE98" s="1" t="s">
        <v>2235</v>
      </c>
      <c r="BM98" s="1" t="s">
        <v>2463</v>
      </c>
      <c r="BN98" s="1" t="s">
        <v>2463</v>
      </c>
      <c r="BS98" s="1" t="s">
        <v>593</v>
      </c>
      <c r="BT98" s="1" t="s">
        <v>516</v>
      </c>
      <c r="CA98" t="s">
        <v>2579</v>
      </c>
      <c r="CB98" t="s">
        <v>2481</v>
      </c>
    </row>
    <row r="99" spans="4:80" ht="16.350000000000001" customHeight="1" thickBot="1">
      <c r="S99" s="838">
        <f>Ram_1!AR95</f>
        <v>0</v>
      </c>
      <c r="W99" s="819" t="str">
        <f>'Translate&amp;Prices&amp;Logo'!$O$173</f>
        <v>Rodzaj szkła</v>
      </c>
      <c r="X99" s="819"/>
      <c r="Y99" s="819"/>
      <c r="Z99" s="819"/>
      <c r="AA99" s="819"/>
      <c r="AB99" s="366"/>
      <c r="AC99" s="814">
        <f>IFERROR(VLOOKUP(Ram_3!$H$25,kombinace_1!DT:DU,2,0),0)</f>
        <v>0</v>
      </c>
      <c r="AD99" s="814"/>
      <c r="AE99" s="814"/>
      <c r="AF99" s="814"/>
      <c r="AG99" s="814"/>
      <c r="AH99" s="814"/>
      <c r="AI99" s="814"/>
      <c r="AJ99" s="814"/>
      <c r="AK99" s="814"/>
      <c r="AL99" s="814"/>
      <c r="AM99" s="814"/>
      <c r="AN99" s="814"/>
      <c r="AO99" s="814"/>
      <c r="AR99" s="841"/>
      <c r="BM99" s="1" t="s">
        <v>597</v>
      </c>
      <c r="BN99" s="1" t="s">
        <v>519</v>
      </c>
      <c r="BS99" s="1" t="s">
        <v>594</v>
      </c>
      <c r="BT99" s="1" t="s">
        <v>517</v>
      </c>
    </row>
    <row r="100" spans="4:80" ht="16.350000000000001" customHeight="1">
      <c r="W100" s="819" t="str">
        <f>'Translate&amp;Prices&amp;Logo'!$O$549</f>
        <v>Rozstaw uchwytu (mm)</v>
      </c>
      <c r="X100" s="819"/>
      <c r="Y100" s="819"/>
      <c r="Z100" s="819"/>
      <c r="AA100" s="819"/>
      <c r="AB100" s="366"/>
      <c r="AC100" s="814">
        <f>Ram_3!$H$26</f>
        <v>0</v>
      </c>
      <c r="AD100" s="814"/>
      <c r="AE100" s="814"/>
      <c r="AF100" s="814"/>
      <c r="AG100" s="814"/>
      <c r="AH100" s="814"/>
      <c r="AI100" s="814"/>
      <c r="AJ100" s="814"/>
      <c r="AK100" s="814"/>
      <c r="AL100" s="814"/>
      <c r="AM100" s="814"/>
      <c r="AN100" s="814"/>
      <c r="AO100" s="814"/>
      <c r="AR100" s="841"/>
      <c r="BM100" s="1" t="s">
        <v>598</v>
      </c>
      <c r="BN100" s="1" t="s">
        <v>520</v>
      </c>
      <c r="BS100" s="1" t="s">
        <v>2528</v>
      </c>
      <c r="BT100" s="1" t="s">
        <v>2210</v>
      </c>
    </row>
    <row r="101" spans="4:80" ht="16.350000000000001" customHeight="1">
      <c r="W101" s="819" t="str">
        <f>'Translate&amp;Prices&amp;Logo'!$O$550</f>
        <v>Umieszczenie uchwytu</v>
      </c>
      <c r="X101" s="819"/>
      <c r="Y101" s="819"/>
      <c r="Z101" s="819"/>
      <c r="AA101" s="819"/>
      <c r="AB101" s="366"/>
      <c r="AC101" s="814">
        <f>IFERROR(VLOOKUP(Ram_3!$H$27,BS84:BT103,2,0),0)</f>
        <v>0</v>
      </c>
      <c r="AD101" s="814"/>
      <c r="AE101" s="814"/>
      <c r="AF101" s="814"/>
      <c r="AG101" s="814"/>
      <c r="AH101" s="814"/>
      <c r="AI101" s="814"/>
      <c r="AJ101" s="814"/>
      <c r="AK101" s="814"/>
      <c r="AL101" s="814"/>
      <c r="AM101" s="814"/>
      <c r="AN101" s="814"/>
      <c r="AO101" s="814"/>
      <c r="AR101" s="841"/>
      <c r="BM101" s="1" t="s">
        <v>599</v>
      </c>
      <c r="BN101" s="1" t="s">
        <v>521</v>
      </c>
      <c r="BS101" s="1" t="s">
        <v>1855</v>
      </c>
      <c r="BT101" s="1" t="s">
        <v>2462</v>
      </c>
    </row>
    <row r="102" spans="4:80" ht="16.350000000000001" customHeight="1">
      <c r="W102" s="819" t="str">
        <f>('Translate&amp;Prices&amp;Logo'!$O$174)&amp;" "&amp;"-"&amp;" "&amp;('Translate&amp;Prices&amp;Logo'!$O$169)&amp;" "&amp;" "&amp;1</f>
        <v>Ilość sztuk - Ramka  1</v>
      </c>
      <c r="X102" s="819"/>
      <c r="Y102" s="819"/>
      <c r="Z102" s="819"/>
      <c r="AA102" s="819"/>
      <c r="AB102" s="366"/>
      <c r="AC102" s="814">
        <f>Ram_3!$H$28</f>
        <v>0</v>
      </c>
      <c r="AD102" s="814"/>
      <c r="AE102" s="814"/>
      <c r="AF102" s="814"/>
      <c r="AG102" s="814"/>
      <c r="AH102" s="814"/>
      <c r="AI102" s="814"/>
      <c r="AJ102" s="814"/>
      <c r="AK102" s="814"/>
      <c r="AL102" s="814"/>
      <c r="AM102" s="814"/>
      <c r="AN102" s="814"/>
      <c r="AO102" s="814"/>
      <c r="AR102" s="841"/>
      <c r="BM102" s="1" t="s">
        <v>600</v>
      </c>
      <c r="BN102" s="1" t="s">
        <v>522</v>
      </c>
      <c r="BS102" s="1" t="s">
        <v>1814</v>
      </c>
      <c r="BT102" s="1" t="s">
        <v>516</v>
      </c>
    </row>
    <row r="103" spans="4:80" ht="16.350000000000001" customHeight="1">
      <c r="AE103" s="1"/>
      <c r="AF103" s="1"/>
      <c r="AR103" s="841"/>
      <c r="BM103" s="1" t="s">
        <v>2386</v>
      </c>
      <c r="BN103" s="1" t="s">
        <v>2463</v>
      </c>
      <c r="BS103" s="1" t="s">
        <v>1815</v>
      </c>
      <c r="BT103" s="1" t="s">
        <v>517</v>
      </c>
    </row>
    <row r="104" spans="4:80" ht="14.85" customHeight="1">
      <c r="AR104" s="841"/>
      <c r="BM104" s="1" t="s">
        <v>2529</v>
      </c>
      <c r="BN104" s="1" t="s">
        <v>519</v>
      </c>
      <c r="BS104" s="445" t="s">
        <v>3656</v>
      </c>
      <c r="BT104" s="445" t="s">
        <v>3652</v>
      </c>
    </row>
    <row r="105" spans="4:80" ht="14.85" customHeight="1">
      <c r="W105" s="822" t="s">
        <v>2828</v>
      </c>
      <c r="X105" s="822"/>
      <c r="Y105" s="822"/>
      <c r="Z105" s="822"/>
      <c r="AE105" s="822" t="s">
        <v>2829</v>
      </c>
      <c r="AF105" s="822"/>
      <c r="AG105" s="822"/>
      <c r="AH105" s="822"/>
      <c r="AR105" s="841"/>
      <c r="BM105" s="1" t="s">
        <v>2530</v>
      </c>
      <c r="BN105" s="1" t="s">
        <v>520</v>
      </c>
      <c r="BS105" s="445" t="s">
        <v>3657</v>
      </c>
      <c r="BT105" s="445" t="s">
        <v>3653</v>
      </c>
    </row>
    <row r="106" spans="4:80" ht="14.85" customHeight="1">
      <c r="AE106" s="823"/>
      <c r="AF106" s="824"/>
      <c r="AG106" s="824"/>
      <c r="AH106" s="824"/>
      <c r="AI106" s="824"/>
      <c r="AJ106" s="824"/>
      <c r="AK106" s="824"/>
      <c r="AL106" s="824"/>
      <c r="AM106" s="824"/>
      <c r="AN106" s="825"/>
      <c r="AR106" s="841"/>
      <c r="BM106" s="1" t="s">
        <v>2679</v>
      </c>
      <c r="BN106" s="1" t="s">
        <v>521</v>
      </c>
      <c r="BS106" s="445" t="s">
        <v>3658</v>
      </c>
      <c r="BT106" s="445" t="s">
        <v>3654</v>
      </c>
    </row>
    <row r="107" spans="4:80" ht="14.85" customHeight="1">
      <c r="AE107" s="826"/>
      <c r="AF107" s="827"/>
      <c r="AG107" s="827"/>
      <c r="AH107" s="827"/>
      <c r="AI107" s="827"/>
      <c r="AJ107" s="827"/>
      <c r="AK107" s="827"/>
      <c r="AL107" s="827"/>
      <c r="AM107" s="827"/>
      <c r="AN107" s="828"/>
      <c r="AR107" s="841"/>
      <c r="BM107" s="1" t="s">
        <v>2680</v>
      </c>
      <c r="BN107" s="1" t="s">
        <v>522</v>
      </c>
      <c r="BS107" s="445" t="s">
        <v>3659</v>
      </c>
      <c r="BT107" s="445" t="s">
        <v>3655</v>
      </c>
    </row>
    <row r="108" spans="4:80" ht="14.85" customHeight="1">
      <c r="AE108" s="826"/>
      <c r="AF108" s="827"/>
      <c r="AG108" s="827"/>
      <c r="AH108" s="827"/>
      <c r="AI108" s="827"/>
      <c r="AJ108" s="827"/>
      <c r="AK108" s="827"/>
      <c r="AL108" s="827"/>
      <c r="AM108" s="827"/>
      <c r="AN108" s="828"/>
      <c r="AR108" s="841"/>
      <c r="BM108" s="1" t="s">
        <v>2019</v>
      </c>
      <c r="BN108" s="1" t="s">
        <v>2463</v>
      </c>
    </row>
    <row r="109" spans="4:80" ht="14.85" customHeight="1">
      <c r="D109" s="821">
        <f>IF(OR(Ram_3!$AC$25="x",Ram_3!$AJ$26="x",Ram_3!$AC$9="x",Ram_3!$AJ$7="x",Ram_3!$AB$16="x",Ram_3!$AM$23="x",Ram_3!$AN$19="x",Ram_3!$AD$10="x"),'Translate&amp;Prices&amp;Logo'!$B$588,0)</f>
        <v>0</v>
      </c>
      <c r="E109" s="821"/>
      <c r="F109" s="821"/>
      <c r="G109" s="821"/>
      <c r="H109" s="821"/>
      <c r="I109" s="821"/>
      <c r="J109" s="821"/>
      <c r="K109" s="821"/>
      <c r="L109" s="821"/>
      <c r="M109" s="821"/>
      <c r="N109" s="821"/>
      <c r="O109" s="821"/>
      <c r="P109" s="821"/>
      <c r="AE109" s="826"/>
      <c r="AF109" s="827"/>
      <c r="AG109" s="827"/>
      <c r="AH109" s="827"/>
      <c r="AI109" s="827"/>
      <c r="AJ109" s="827"/>
      <c r="AK109" s="827"/>
      <c r="AL109" s="827"/>
      <c r="AM109" s="827"/>
      <c r="AN109" s="828"/>
      <c r="AR109" s="841"/>
    </row>
    <row r="110" spans="4:80" ht="14.85" customHeight="1">
      <c r="AE110" s="826"/>
      <c r="AF110" s="827"/>
      <c r="AG110" s="827"/>
      <c r="AH110" s="827"/>
      <c r="AI110" s="827"/>
      <c r="AJ110" s="827"/>
      <c r="AK110" s="827"/>
      <c r="AL110" s="827"/>
      <c r="AM110" s="827"/>
      <c r="AN110" s="828"/>
      <c r="AR110" s="841"/>
    </row>
    <row r="111" spans="4:80" ht="14.85" customHeight="1" thickBot="1">
      <c r="AE111" s="826"/>
      <c r="AF111" s="827"/>
      <c r="AG111" s="827"/>
      <c r="AH111" s="827"/>
      <c r="AI111" s="827"/>
      <c r="AJ111" s="827"/>
      <c r="AK111" s="827"/>
      <c r="AL111" s="827"/>
      <c r="AM111" s="827"/>
      <c r="AN111" s="828"/>
      <c r="AR111" s="841"/>
    </row>
    <row r="112" spans="4:80" ht="14.85" customHeight="1" thickBot="1">
      <c r="G112" s="832" t="str">
        <f>'Translate&amp;Prices&amp;Logo'!$O$175</f>
        <v>Szerokość</v>
      </c>
      <c r="H112" s="833">
        <f>Ram_1!AG102</f>
        <v>0</v>
      </c>
      <c r="I112" s="833">
        <f>Ram_1!AH102</f>
        <v>0</v>
      </c>
      <c r="J112" s="812">
        <f>Ram_3!AI30</f>
        <v>0</v>
      </c>
      <c r="K112" s="812">
        <f>Ram_1!AJ102</f>
        <v>0</v>
      </c>
      <c r="L112" s="813">
        <f>Ram_1!AK102</f>
        <v>0</v>
      </c>
      <c r="AE112" s="826"/>
      <c r="AF112" s="827"/>
      <c r="AG112" s="827"/>
      <c r="AH112" s="827"/>
      <c r="AI112" s="827"/>
      <c r="AJ112" s="827"/>
      <c r="AK112" s="827"/>
      <c r="AL112" s="827"/>
      <c r="AM112" s="827"/>
      <c r="AN112" s="828"/>
      <c r="AR112" s="841"/>
    </row>
    <row r="113" spans="1:80" ht="21" customHeight="1">
      <c r="AE113" s="829"/>
      <c r="AF113" s="830"/>
      <c r="AG113" s="830"/>
      <c r="AH113" s="830"/>
      <c r="AI113" s="830"/>
      <c r="AJ113" s="830"/>
      <c r="AK113" s="830"/>
      <c r="AL113" s="830"/>
      <c r="AM113" s="830"/>
      <c r="AN113" s="831"/>
      <c r="AR113" s="841"/>
    </row>
    <row r="114" spans="1:80" ht="14.85" customHeight="1">
      <c r="AR114" s="841"/>
    </row>
    <row r="115" spans="1:80" ht="14.85" customHeight="1">
      <c r="AR115" s="841"/>
    </row>
    <row r="116" spans="1:80" ht="14.85" customHeight="1" thickBot="1">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73"/>
      <c r="AE116" s="435"/>
      <c r="AF116" s="436"/>
      <c r="AG116" s="273"/>
      <c r="AH116" s="273"/>
      <c r="AI116" s="273"/>
      <c r="AJ116" s="273"/>
      <c r="AK116" s="273"/>
      <c r="AL116" s="273"/>
      <c r="AM116" s="273"/>
      <c r="AN116" s="273"/>
      <c r="AO116" s="273"/>
      <c r="AP116" s="273"/>
      <c r="AQ116" s="273"/>
      <c r="AR116" s="273"/>
    </row>
    <row r="117" spans="1:80" ht="35.1" customHeight="1" thickBot="1">
      <c r="J117" s="432"/>
      <c r="K117" s="432"/>
      <c r="L117" s="432"/>
      <c r="M117" s="432"/>
      <c r="N117" s="432"/>
      <c r="O117" s="432"/>
      <c r="P117" s="432"/>
      <c r="Q117" s="432"/>
      <c r="R117" s="432"/>
      <c r="S117" s="432"/>
      <c r="T117" s="432"/>
      <c r="U117" s="432"/>
      <c r="V117" s="432"/>
      <c r="W117" s="818" t="str">
        <f>'Translate&amp;Prices&amp;Logo'!$O$256</f>
        <v>Numer zamówienia</v>
      </c>
      <c r="X117" s="818"/>
      <c r="Y117" s="818"/>
      <c r="Z117" s="818"/>
      <c r="AA117" s="818"/>
      <c r="AB117" s="366"/>
      <c r="AC117" s="815"/>
      <c r="AD117" s="816"/>
      <c r="AE117" s="816"/>
      <c r="AF117" s="816"/>
      <c r="AG117" s="816"/>
      <c r="AH117" s="816"/>
      <c r="AI117" s="816"/>
      <c r="AJ117" s="816"/>
      <c r="AK117" s="816"/>
      <c r="AL117" s="816"/>
      <c r="AM117" s="816"/>
      <c r="AN117" s="816"/>
      <c r="AO117" s="817"/>
      <c r="AR117" s="841" t="s">
        <v>2833</v>
      </c>
    </row>
    <row r="118" spans="1:80" ht="16.350000000000001" customHeight="1">
      <c r="W118" s="819" t="str">
        <f>'Translate&amp;Prices&amp;Logo'!$O$542</f>
        <v>Połączenie 2 profili</v>
      </c>
      <c r="X118" s="819"/>
      <c r="Y118" s="819"/>
      <c r="Z118" s="819"/>
      <c r="AA118" s="819"/>
      <c r="AB118" s="366"/>
      <c r="AC118" s="842" t="str">
        <f>IF(kombinace_4!$H$1=TRUE,"Tak","Nie")</f>
        <v>Nie</v>
      </c>
      <c r="AD118" s="842"/>
      <c r="AE118" s="842"/>
      <c r="AF118" s="842"/>
      <c r="AG118" s="842"/>
      <c r="AH118" s="842"/>
      <c r="AI118" s="842"/>
      <c r="AJ118" s="842"/>
      <c r="AK118" s="842"/>
      <c r="AL118" s="842"/>
      <c r="AM118" s="842"/>
      <c r="AN118" s="842"/>
      <c r="AO118" s="842"/>
      <c r="AR118" s="841"/>
    </row>
    <row r="119" spans="1:80" ht="16.350000000000001" customHeight="1">
      <c r="W119" s="819" t="str">
        <f>'Translate&amp;Prices&amp;Logo'!$O$172</f>
        <v>Rodzaj profilu</v>
      </c>
      <c r="X119" s="819"/>
      <c r="Y119" s="819"/>
      <c r="Z119" s="819"/>
      <c r="AA119" s="819"/>
      <c r="AB119" s="366"/>
      <c r="AC119" s="814">
        <f>IFERROR(VLOOKUP(Ram_4!$H$8,kombinace_1!DW:DY,2,0),0)</f>
        <v>0</v>
      </c>
      <c r="AD119" s="814"/>
      <c r="AE119" s="814"/>
      <c r="AF119" s="814"/>
      <c r="AG119" s="814"/>
      <c r="AH119" s="814"/>
      <c r="AI119" s="814"/>
      <c r="AJ119" s="814"/>
      <c r="AK119" s="814"/>
      <c r="AL119" s="814"/>
      <c r="AM119" s="814"/>
      <c r="AN119" s="814"/>
      <c r="AO119" s="814"/>
      <c r="AR119" s="841"/>
    </row>
    <row r="120" spans="1:80" ht="16.350000000000001" customHeight="1">
      <c r="W120" s="819" t="str">
        <f>'Translate&amp;Prices&amp;Logo'!$O$543</f>
        <v>Szprosy</v>
      </c>
      <c r="X120" s="819"/>
      <c r="Y120" s="819"/>
      <c r="Z120" s="819"/>
      <c r="AA120" s="819"/>
      <c r="AB120" s="366"/>
      <c r="AC120" s="814" t="str">
        <f>IFERROR(VLOOKUP(Ram_4!$AU$10,AU120:AV123,2,0),0)</f>
        <v>Nie</v>
      </c>
      <c r="AD120" s="814"/>
      <c r="AE120" s="814"/>
      <c r="AF120" s="814"/>
      <c r="AG120" s="814"/>
      <c r="AH120" s="814"/>
      <c r="AI120" s="814"/>
      <c r="AJ120" s="814"/>
      <c r="AK120" s="814"/>
      <c r="AL120" s="814"/>
      <c r="AM120" s="814"/>
      <c r="AN120" s="814"/>
      <c r="AO120" s="814"/>
      <c r="AR120" s="841"/>
      <c r="AU120">
        <v>0</v>
      </c>
      <c r="AV120" t="str">
        <f>'Translate&amp;Prices&amp;Logo'!$O$557</f>
        <v>Nie</v>
      </c>
      <c r="AZ120">
        <v>2</v>
      </c>
      <c r="BA120" t="str">
        <f>'Translate&amp;Prices&amp;Logo'!$O$551</f>
        <v>Zawiasy</v>
      </c>
      <c r="BD120" s="1" t="s">
        <v>125</v>
      </c>
      <c r="BE120" s="1" t="s">
        <v>485</v>
      </c>
      <c r="BI120" s="1" t="s">
        <v>98</v>
      </c>
      <c r="BJ120" s="1" t="s">
        <v>479</v>
      </c>
      <c r="BM120" s="1" t="s">
        <v>245</v>
      </c>
      <c r="BN120" s="1" t="s">
        <v>519</v>
      </c>
      <c r="BS120" s="1" t="s">
        <v>251</v>
      </c>
      <c r="BT120" s="1" t="s">
        <v>2210</v>
      </c>
      <c r="BX120" s="1">
        <v>1</v>
      </c>
      <c r="BY120" s="1" t="str">
        <f>'Translate&amp;Prices&amp;Logo'!$O$100</f>
        <v>Bez modyfikacji</v>
      </c>
      <c r="CA120" t="s">
        <v>2007</v>
      </c>
      <c r="CB120" t="s">
        <v>2479</v>
      </c>
    </row>
    <row r="121" spans="1:80" ht="16.350000000000001" customHeight="1">
      <c r="W121" s="437"/>
      <c r="X121" s="437"/>
      <c r="Y121" s="437"/>
      <c r="Z121" s="437"/>
      <c r="AA121" s="437"/>
      <c r="AB121" s="438"/>
      <c r="AC121" s="843" t="str">
        <f>'Translate&amp;Prices&amp;Logo'!$O$558</f>
        <v>Poziomo</v>
      </c>
      <c r="AD121" s="843"/>
      <c r="AE121" s="843"/>
      <c r="AF121" s="843"/>
      <c r="AG121" s="843"/>
      <c r="AH121" s="843"/>
      <c r="AI121" s="843"/>
      <c r="AJ121" s="843" t="str">
        <f>'Translate&amp;Prices&amp;Logo'!$O$559</f>
        <v>Pionowo</v>
      </c>
      <c r="AK121" s="843"/>
      <c r="AL121" s="843"/>
      <c r="AM121" s="843"/>
      <c r="AN121" s="843"/>
      <c r="AO121" s="843"/>
      <c r="AR121" s="841"/>
      <c r="AU121">
        <v>1</v>
      </c>
      <c r="AV121" t="str">
        <f>'Translate&amp;Prices&amp;Logo'!$O$558</f>
        <v>Poziomo</v>
      </c>
      <c r="AZ121">
        <v>3</v>
      </c>
      <c r="BA121" t="str">
        <f>'Translate&amp;Prices&amp;Logo'!$O$552</f>
        <v>Podnośniki</v>
      </c>
      <c r="BD121" s="1" t="s">
        <v>126</v>
      </c>
      <c r="BE121" s="1" t="s">
        <v>486</v>
      </c>
      <c r="BI121" s="1" t="s">
        <v>97</v>
      </c>
      <c r="BJ121" s="1" t="s">
        <v>480</v>
      </c>
      <c r="BM121" s="1" t="s">
        <v>246</v>
      </c>
      <c r="BN121" s="1" t="s">
        <v>520</v>
      </c>
      <c r="BS121" s="1" t="s">
        <v>252</v>
      </c>
      <c r="BT121" s="1" t="s">
        <v>2462</v>
      </c>
      <c r="BX121" s="1">
        <v>2</v>
      </c>
      <c r="BY121" s="1" t="str">
        <f>'Translate&amp;Prices&amp;Logo'!$O$101</f>
        <v>Hartowane</v>
      </c>
      <c r="CA121" t="s">
        <v>2010</v>
      </c>
      <c r="CB121" t="s">
        <v>2480</v>
      </c>
    </row>
    <row r="122" spans="1:80" ht="16.350000000000001" customHeight="1">
      <c r="W122" s="819" t="str">
        <f>('Translate&amp;Prices&amp;Logo'!$O$543)&amp;" "&amp;"("&amp;'Translate&amp;Prices&amp;Logo'!$O$174&amp;")"</f>
        <v>Szprosy (Ilość sztuk)</v>
      </c>
      <c r="X122" s="819"/>
      <c r="Y122" s="819"/>
      <c r="Z122" s="819"/>
      <c r="AA122" s="819"/>
      <c r="AB122" s="366"/>
      <c r="AC122" s="814">
        <f>Ram_4!$H$11</f>
        <v>0</v>
      </c>
      <c r="AD122" s="814"/>
      <c r="AE122" s="814"/>
      <c r="AF122" s="814"/>
      <c r="AG122" s="814"/>
      <c r="AH122" s="814"/>
      <c r="AI122" s="814"/>
      <c r="AJ122" s="814">
        <f>Ram_4!$M$11</f>
        <v>0</v>
      </c>
      <c r="AK122" s="814"/>
      <c r="AL122" s="814"/>
      <c r="AM122" s="814"/>
      <c r="AN122" s="814"/>
      <c r="AO122" s="814"/>
      <c r="AR122" s="841"/>
      <c r="AU122">
        <v>2</v>
      </c>
      <c r="AV122" t="str">
        <f>'Translate&amp;Prices&amp;Logo'!$O$559</f>
        <v>Pionowo</v>
      </c>
      <c r="BD122" s="1" t="s">
        <v>127</v>
      </c>
      <c r="BE122" s="1" t="s">
        <v>2235</v>
      </c>
      <c r="BI122" s="1" t="s">
        <v>420</v>
      </c>
      <c r="BJ122" s="1" t="s">
        <v>479</v>
      </c>
      <c r="BM122" s="1" t="s">
        <v>248</v>
      </c>
      <c r="BN122" s="1" t="s">
        <v>521</v>
      </c>
      <c r="BS122" s="1" t="s">
        <v>242</v>
      </c>
      <c r="BT122" s="1" t="s">
        <v>516</v>
      </c>
      <c r="BX122" s="1">
        <v>3</v>
      </c>
      <c r="BY122" s="1" t="str">
        <f>'Translate&amp;Prices&amp;Logo'!$O$102</f>
        <v>Folia</v>
      </c>
      <c r="CA122" t="s">
        <v>2013</v>
      </c>
      <c r="CB122" t="s">
        <v>2481</v>
      </c>
    </row>
    <row r="123" spans="1:80" ht="16.350000000000001" customHeight="1">
      <c r="W123" s="819" t="str">
        <f>'Translate&amp;Prices&amp;Logo'!$O$258</f>
        <v>Typ okucia</v>
      </c>
      <c r="X123" s="819"/>
      <c r="Y123" s="819"/>
      <c r="Z123" s="819"/>
      <c r="AA123" s="819"/>
      <c r="AB123" s="366"/>
      <c r="AC123" s="814">
        <f>IFERROR(VLOOKUP(Ram_4!$AU$9,AZ120:BA121,2,0),0)</f>
        <v>0</v>
      </c>
      <c r="AD123" s="814"/>
      <c r="AE123" s="814"/>
      <c r="AF123" s="814"/>
      <c r="AG123" s="814"/>
      <c r="AH123" s="814"/>
      <c r="AI123" s="814"/>
      <c r="AJ123" s="814"/>
      <c r="AK123" s="814"/>
      <c r="AL123" s="814"/>
      <c r="AM123" s="814"/>
      <c r="AN123" s="814"/>
      <c r="AO123" s="814"/>
      <c r="AR123" s="841"/>
      <c r="AU123">
        <v>3</v>
      </c>
      <c r="AV123" t="str">
        <f>'Translate&amp;Prices&amp;Logo'!$O$560</f>
        <v>Poziomo i pionowo</v>
      </c>
      <c r="BD123" s="1" t="s">
        <v>125</v>
      </c>
      <c r="BE123" s="1" t="s">
        <v>485</v>
      </c>
      <c r="BI123" s="1" t="s">
        <v>421</v>
      </c>
      <c r="BJ123" s="1" t="s">
        <v>480</v>
      </c>
      <c r="BM123" s="1" t="s">
        <v>247</v>
      </c>
      <c r="BN123" s="1" t="s">
        <v>522</v>
      </c>
      <c r="BS123" s="1" t="s">
        <v>241</v>
      </c>
      <c r="BT123" s="1" t="s">
        <v>517</v>
      </c>
      <c r="CA123" t="s">
        <v>2318</v>
      </c>
      <c r="CB123" t="s">
        <v>2479</v>
      </c>
    </row>
    <row r="124" spans="1:80" ht="16.350000000000001" customHeight="1">
      <c r="W124" s="819" t="str">
        <f>'Translate&amp;Prices&amp;Logo'!$O$544</f>
        <v>Marka okucia</v>
      </c>
      <c r="X124" s="819"/>
      <c r="Y124" s="819"/>
      <c r="Z124" s="819"/>
      <c r="AA124" s="819"/>
      <c r="AB124" s="366"/>
      <c r="AC124" s="814">
        <f>Ram_4!$H$13</f>
        <v>0</v>
      </c>
      <c r="AD124" s="814"/>
      <c r="AE124" s="814"/>
      <c r="AF124" s="814"/>
      <c r="AG124" s="814"/>
      <c r="AH124" s="814"/>
      <c r="AI124" s="814"/>
      <c r="AJ124" s="814"/>
      <c r="AK124" s="814"/>
      <c r="AL124" s="814"/>
      <c r="AM124" s="814"/>
      <c r="AN124" s="814"/>
      <c r="AO124" s="814"/>
      <c r="AR124" s="841"/>
      <c r="BD124" s="1" t="s">
        <v>126</v>
      </c>
      <c r="BE124" s="1" t="s">
        <v>486</v>
      </c>
      <c r="BI124" s="1" t="s">
        <v>740</v>
      </c>
      <c r="BJ124" s="1" t="s">
        <v>479</v>
      </c>
      <c r="BM124" s="1" t="s">
        <v>249</v>
      </c>
      <c r="BN124" s="1" t="s">
        <v>2463</v>
      </c>
      <c r="BS124" s="1" t="s">
        <v>2212</v>
      </c>
      <c r="BT124" s="1" t="s">
        <v>2210</v>
      </c>
      <c r="CA124" t="s">
        <v>2319</v>
      </c>
      <c r="CB124" t="s">
        <v>2480</v>
      </c>
    </row>
    <row r="125" spans="1:80" ht="16.350000000000001" customHeight="1" thickBot="1">
      <c r="W125" s="819" t="str">
        <f>'Translate&amp;Prices&amp;Logo'!$O$546</f>
        <v>Nałożenie</v>
      </c>
      <c r="X125" s="819"/>
      <c r="Y125" s="819"/>
      <c r="Z125" s="819"/>
      <c r="AA125" s="819"/>
      <c r="AB125" s="366"/>
      <c r="AC125" s="814">
        <f>IFERROR(VLOOKUP(Ram_4!$H$14,BD120:BE134,2,0),0)</f>
        <v>0</v>
      </c>
      <c r="AD125" s="814"/>
      <c r="AE125" s="814"/>
      <c r="AF125" s="814"/>
      <c r="AG125" s="814"/>
      <c r="AH125" s="814"/>
      <c r="AI125" s="814"/>
      <c r="AJ125" s="814"/>
      <c r="AK125" s="814"/>
      <c r="AL125" s="814"/>
      <c r="AM125" s="814"/>
      <c r="AN125" s="814"/>
      <c r="AO125" s="814"/>
      <c r="AR125" s="841"/>
      <c r="BD125" s="1" t="s">
        <v>127</v>
      </c>
      <c r="BE125" s="1" t="s">
        <v>2235</v>
      </c>
      <c r="BI125" s="1" t="s">
        <v>556</v>
      </c>
      <c r="BJ125" s="1" t="s">
        <v>480</v>
      </c>
      <c r="BM125" s="1" t="s">
        <v>454</v>
      </c>
      <c r="BN125" s="1" t="s">
        <v>519</v>
      </c>
      <c r="BS125" s="1" t="s">
        <v>252</v>
      </c>
      <c r="BT125" s="1" t="s">
        <v>2462</v>
      </c>
      <c r="CA125" t="s">
        <v>2320</v>
      </c>
      <c r="CB125" t="s">
        <v>2481</v>
      </c>
    </row>
    <row r="126" spans="1:80" ht="16.350000000000001" customHeight="1">
      <c r="S126" s="839">
        <f>Ram_4!AR14</f>
        <v>0</v>
      </c>
      <c r="W126" s="819" t="str">
        <f>'Translate&amp;Prices&amp;Logo'!$O$545</f>
        <v>Wariant okucia</v>
      </c>
      <c r="X126" s="819"/>
      <c r="Y126" s="819"/>
      <c r="Z126" s="819"/>
      <c r="AA126" s="819"/>
      <c r="AB126" s="366"/>
      <c r="AC126" s="814">
        <f>IFERROR(VLOOKUP(Ram_4!$H$15,kombinace_1!$ED:$EE,2,0),Ram_4!$H$15)</f>
        <v>0</v>
      </c>
      <c r="AD126" s="814"/>
      <c r="AE126" s="814"/>
      <c r="AF126" s="814"/>
      <c r="AG126" s="814"/>
      <c r="AH126" s="814"/>
      <c r="AI126" s="814"/>
      <c r="AJ126" s="814"/>
      <c r="AK126" s="814"/>
      <c r="AL126" s="814"/>
      <c r="AM126" s="814"/>
      <c r="AN126" s="814"/>
      <c r="AO126" s="814"/>
      <c r="AR126" s="841"/>
      <c r="BD126" s="1" t="s">
        <v>485</v>
      </c>
      <c r="BE126" s="1" t="s">
        <v>485</v>
      </c>
      <c r="BI126" s="1" t="s">
        <v>2521</v>
      </c>
      <c r="BJ126" s="1" t="s">
        <v>479</v>
      </c>
      <c r="BM126" s="1" t="s">
        <v>455</v>
      </c>
      <c r="BN126" s="1" t="s">
        <v>520</v>
      </c>
      <c r="BS126" s="1" t="s">
        <v>450</v>
      </c>
      <c r="BT126" s="1" t="s">
        <v>516</v>
      </c>
      <c r="CA126" t="s">
        <v>2479</v>
      </c>
      <c r="CB126" t="s">
        <v>2479</v>
      </c>
    </row>
    <row r="127" spans="1:80" ht="16.350000000000001" customHeight="1">
      <c r="S127" s="840">
        <f>Ram_1!AR123</f>
        <v>0</v>
      </c>
      <c r="W127" s="819" t="str">
        <f>'Translate&amp;Prices&amp;Logo'!$O$218</f>
        <v>Wybierz pozycję ramki</v>
      </c>
      <c r="X127" s="819"/>
      <c r="Y127" s="819"/>
      <c r="Z127" s="819"/>
      <c r="AA127" s="819"/>
      <c r="AB127" s="814">
        <f>IFERROR(VLOOKUP(Ram_4!$F$16,BI120:BJ129,2,0),0)</f>
        <v>0</v>
      </c>
      <c r="AC127" s="814"/>
      <c r="AD127" s="814"/>
      <c r="AE127" s="814"/>
      <c r="AF127" s="814"/>
      <c r="AG127" s="819" t="str">
        <f>'Translate&amp;Prices&amp;Logo'!$O$232</f>
        <v>Rodzaj drugiej ramki</v>
      </c>
      <c r="AH127" s="819"/>
      <c r="AI127" s="819"/>
      <c r="AJ127" s="819"/>
      <c r="AK127" s="819"/>
      <c r="AL127" s="814">
        <f>IFERROR(VLOOKUP(Ram_4!$N$16,BM120:BN144,2,0),0)</f>
        <v>0</v>
      </c>
      <c r="AM127" s="814"/>
      <c r="AN127" s="814"/>
      <c r="AO127" s="814"/>
      <c r="AR127" s="841"/>
      <c r="BD127" s="1" t="s">
        <v>486</v>
      </c>
      <c r="BE127" s="1" t="s">
        <v>486</v>
      </c>
      <c r="BI127" s="1" t="s">
        <v>2522</v>
      </c>
      <c r="BJ127" s="1" t="s">
        <v>480</v>
      </c>
      <c r="BM127" s="1" t="s">
        <v>456</v>
      </c>
      <c r="BN127" s="1" t="s">
        <v>521</v>
      </c>
      <c r="BS127" s="1" t="s">
        <v>451</v>
      </c>
      <c r="BT127" s="1" t="s">
        <v>517</v>
      </c>
      <c r="CA127" t="s">
        <v>2480</v>
      </c>
      <c r="CB127" t="s">
        <v>2480</v>
      </c>
    </row>
    <row r="128" spans="1:80" ht="16.350000000000001" customHeight="1">
      <c r="S128" s="840">
        <f>Ram_1!AR124</f>
        <v>0</v>
      </c>
      <c r="W128" s="819" t="str">
        <f>'Translate&amp;Prices&amp;Logo'!$O$238</f>
        <v>Umieszczenie zawiasu</v>
      </c>
      <c r="X128" s="819"/>
      <c r="Y128" s="819"/>
      <c r="Z128" s="819"/>
      <c r="AA128" s="819"/>
      <c r="AB128" s="366"/>
      <c r="AC128" s="814">
        <f>IFERROR(VLOOKUP(Ram_4!$H$17,BS120:BT139,2,0),0)</f>
        <v>0</v>
      </c>
      <c r="AD128" s="814"/>
      <c r="AE128" s="814"/>
      <c r="AF128" s="814"/>
      <c r="AG128" s="814"/>
      <c r="AH128" s="814"/>
      <c r="AI128" s="814"/>
      <c r="AJ128" s="814"/>
      <c r="AK128" s="814"/>
      <c r="AL128" s="814"/>
      <c r="AM128" s="814"/>
      <c r="AN128" s="814"/>
      <c r="AO128" s="814"/>
      <c r="AR128" s="841"/>
      <c r="BD128" s="1" t="s">
        <v>2235</v>
      </c>
      <c r="BE128" s="1" t="s">
        <v>2235</v>
      </c>
      <c r="BI128" s="1" t="s">
        <v>479</v>
      </c>
      <c r="BJ128" s="1" t="s">
        <v>479</v>
      </c>
      <c r="BM128" s="1" t="s">
        <v>457</v>
      </c>
      <c r="BN128" s="1" t="s">
        <v>522</v>
      </c>
      <c r="BS128" s="1" t="s">
        <v>2210</v>
      </c>
      <c r="BT128" s="1" t="s">
        <v>2210</v>
      </c>
      <c r="CA128" t="s">
        <v>2481</v>
      </c>
      <c r="CB128" t="s">
        <v>2481</v>
      </c>
    </row>
    <row r="129" spans="19:80" ht="16.350000000000001" customHeight="1">
      <c r="S129" s="840">
        <f>Ram_1!AR125</f>
        <v>0</v>
      </c>
      <c r="W129" s="819" t="str">
        <f>'Translate&amp;Prices&amp;Logo'!$O$547</f>
        <v>Zawiasy do podnośników</v>
      </c>
      <c r="X129" s="819"/>
      <c r="Y129" s="819"/>
      <c r="Z129" s="819"/>
      <c r="AA129" s="819"/>
      <c r="AB129" s="366"/>
      <c r="AC129" s="814">
        <f>Ram_4!$H$18</f>
        <v>0</v>
      </c>
      <c r="AD129" s="814"/>
      <c r="AE129" s="814"/>
      <c r="AF129" s="814"/>
      <c r="AG129" s="814"/>
      <c r="AH129" s="814"/>
      <c r="AI129" s="814"/>
      <c r="AJ129" s="814"/>
      <c r="AK129" s="814"/>
      <c r="AL129" s="814"/>
      <c r="AM129" s="814"/>
      <c r="AN129" s="814"/>
      <c r="AO129" s="814"/>
      <c r="AR129" s="841"/>
      <c r="BD129" s="1" t="s">
        <v>561</v>
      </c>
      <c r="BE129" s="1" t="s">
        <v>485</v>
      </c>
      <c r="BI129" s="1" t="s">
        <v>480</v>
      </c>
      <c r="BJ129" s="1" t="s">
        <v>480</v>
      </c>
      <c r="BM129" s="1" t="s">
        <v>458</v>
      </c>
      <c r="BN129" s="1" t="s">
        <v>2463</v>
      </c>
      <c r="BS129" s="1" t="s">
        <v>2462</v>
      </c>
      <c r="BT129" s="1" t="s">
        <v>2462</v>
      </c>
      <c r="CA129" t="s">
        <v>2321</v>
      </c>
      <c r="CB129" t="s">
        <v>2479</v>
      </c>
    </row>
    <row r="130" spans="19:80" ht="16.350000000000001" customHeight="1">
      <c r="S130" s="840">
        <f>Ram_1!AR126</f>
        <v>0</v>
      </c>
      <c r="W130" s="819" t="str">
        <f>'Translate&amp;Prices&amp;Logo'!$O$223</f>
        <v>Ilość zawiasów na 1 ramkę</v>
      </c>
      <c r="X130" s="819"/>
      <c r="Y130" s="819"/>
      <c r="Z130" s="819"/>
      <c r="AA130" s="819"/>
      <c r="AB130" s="366"/>
      <c r="AC130" s="814">
        <f>Ram_4!$H$19</f>
        <v>0</v>
      </c>
      <c r="AD130" s="814"/>
      <c r="AE130" s="814"/>
      <c r="AF130" s="814"/>
      <c r="AG130" s="814"/>
      <c r="AH130" s="814"/>
      <c r="AI130" s="814"/>
      <c r="AJ130" s="814"/>
      <c r="AK130" s="814"/>
      <c r="AL130" s="814"/>
      <c r="AM130" s="814"/>
      <c r="AN130" s="814"/>
      <c r="AO130" s="814"/>
      <c r="AR130" s="841"/>
      <c r="BD130" s="1" t="s">
        <v>562</v>
      </c>
      <c r="BE130" s="1" t="s">
        <v>486</v>
      </c>
      <c r="BM130" s="1" t="s">
        <v>519</v>
      </c>
      <c r="BN130" s="1" t="s">
        <v>519</v>
      </c>
      <c r="BS130" s="1" t="s">
        <v>516</v>
      </c>
      <c r="BT130" s="1" t="s">
        <v>516</v>
      </c>
      <c r="CA130" t="s">
        <v>2427</v>
      </c>
      <c r="CB130" t="s">
        <v>2480</v>
      </c>
    </row>
    <row r="131" spans="19:80" ht="16.350000000000001" customHeight="1">
      <c r="S131" s="837" t="str">
        <f>'Translate&amp;Prices&amp;Logo'!$O$176</f>
        <v>Wysokość</v>
      </c>
      <c r="W131" s="819" t="e">
        <f>'Translate&amp;Prices&amp;Logo'!$O$242&amp;" "&amp;VLOOKUP(Ram_4!H17,kombinace_1!$BY$32:$CC$35,5,0)</f>
        <v>#N/A</v>
      </c>
      <c r="X131" s="819"/>
      <c r="Y131" s="819"/>
      <c r="Z131" s="819"/>
      <c r="AA131" s="819"/>
      <c r="AB131" s="814">
        <f>Ram_4!$F$20</f>
        <v>100</v>
      </c>
      <c r="AC131" s="814"/>
      <c r="AD131" s="814"/>
      <c r="AE131" s="814"/>
      <c r="AF131" s="814"/>
      <c r="AG131" s="819" t="e">
        <f>'Translate&amp;Prices&amp;Logo'!$O$242&amp;" "&amp;VLOOKUP(Ram_4!H17,kombinace_1!$BY$32:$CD$35,6,0)</f>
        <v>#N/A</v>
      </c>
      <c r="AH131" s="819"/>
      <c r="AI131" s="819"/>
      <c r="AJ131" s="819"/>
      <c r="AK131" s="819"/>
      <c r="AL131" s="814">
        <f>Ram_4!$N$20</f>
        <v>100</v>
      </c>
      <c r="AM131" s="814"/>
      <c r="AN131" s="814"/>
      <c r="AO131" s="814"/>
      <c r="AR131" s="841"/>
      <c r="BD131" s="1" t="s">
        <v>563</v>
      </c>
      <c r="BE131" s="1" t="s">
        <v>2235</v>
      </c>
      <c r="BM131" s="1" t="s">
        <v>520</v>
      </c>
      <c r="BN131" s="1" t="s">
        <v>520</v>
      </c>
      <c r="BS131" s="1" t="s">
        <v>517</v>
      </c>
      <c r="BT131" s="1" t="s">
        <v>517</v>
      </c>
      <c r="CA131" t="s">
        <v>2322</v>
      </c>
      <c r="CB131" t="s">
        <v>2481</v>
      </c>
    </row>
    <row r="132" spans="19:80" ht="16.350000000000001" customHeight="1">
      <c r="S132" s="837">
        <f>Ram_1!AR128</f>
        <v>0</v>
      </c>
      <c r="W132" s="437"/>
      <c r="X132" s="437"/>
      <c r="Y132" s="437"/>
      <c r="Z132" s="437"/>
      <c r="AA132" s="437"/>
      <c r="AB132" s="438"/>
      <c r="AC132" s="438"/>
      <c r="AD132" s="438"/>
      <c r="AE132" s="438"/>
      <c r="AF132" s="438"/>
      <c r="AG132" s="438"/>
      <c r="AH132" s="438"/>
      <c r="AI132" s="438"/>
      <c r="AJ132" s="438"/>
      <c r="AK132" s="438"/>
      <c r="AL132" s="438"/>
      <c r="AM132" s="438"/>
      <c r="AN132" s="438"/>
      <c r="AO132" s="438"/>
      <c r="AR132" s="841"/>
      <c r="BD132" s="1" t="s">
        <v>2800</v>
      </c>
      <c r="BE132" s="1" t="s">
        <v>485</v>
      </c>
      <c r="BM132" s="1" t="s">
        <v>521</v>
      </c>
      <c r="BN132" s="1" t="s">
        <v>521</v>
      </c>
      <c r="BS132" s="1" t="s">
        <v>2211</v>
      </c>
      <c r="BT132" s="1" t="s">
        <v>2210</v>
      </c>
      <c r="CA132" t="s">
        <v>2577</v>
      </c>
      <c r="CB132" t="s">
        <v>2479</v>
      </c>
    </row>
    <row r="133" spans="19:80" ht="16.350000000000001" customHeight="1">
      <c r="S133" s="837">
        <f>Ram_1!AR129</f>
        <v>0</v>
      </c>
      <c r="W133" s="819" t="str">
        <f>'Translate&amp;Prices&amp;Logo'!$O$173</f>
        <v>Rodzaj szkła</v>
      </c>
      <c r="X133" s="819"/>
      <c r="Y133" s="819"/>
      <c r="Z133" s="819"/>
      <c r="AA133" s="819"/>
      <c r="AB133" s="366"/>
      <c r="AC133" s="814" t="str">
        <f>IFERROR(VLOOKUP(kombinace_4!$V$1,BX120:BY122,2,0),0)</f>
        <v>Bez modyfikacji</v>
      </c>
      <c r="AD133" s="814"/>
      <c r="AE133" s="814"/>
      <c r="AF133" s="814"/>
      <c r="AG133" s="814"/>
      <c r="AH133" s="814"/>
      <c r="AI133" s="814"/>
      <c r="AJ133" s="814"/>
      <c r="AK133" s="814"/>
      <c r="AL133" s="814"/>
      <c r="AM133" s="814"/>
      <c r="AN133" s="814"/>
      <c r="AO133" s="814"/>
      <c r="AR133" s="841"/>
      <c r="BD133" s="1" t="s">
        <v>2651</v>
      </c>
      <c r="BE133" s="1" t="s">
        <v>486</v>
      </c>
      <c r="BM133" s="1" t="s">
        <v>522</v>
      </c>
      <c r="BN133" s="1" t="s">
        <v>522</v>
      </c>
      <c r="BS133" s="1" t="s">
        <v>2213</v>
      </c>
      <c r="BT133" s="1" t="s">
        <v>2462</v>
      </c>
      <c r="CA133" t="s">
        <v>2578</v>
      </c>
      <c r="CB133" t="s">
        <v>2480</v>
      </c>
    </row>
    <row r="134" spans="19:80" ht="16.350000000000001" customHeight="1">
      <c r="S134" s="837">
        <f>Ram_1!AR130</f>
        <v>0</v>
      </c>
      <c r="W134" s="819" t="str">
        <f>'Translate&amp;Prices&amp;Logo'!$O$562</f>
        <v>Rodzaj folii</v>
      </c>
      <c r="X134" s="819"/>
      <c r="Y134" s="819"/>
      <c r="Z134" s="819"/>
      <c r="AA134" s="819"/>
      <c r="AB134" s="366"/>
      <c r="AC134" s="814">
        <f>IFERROR(VLOOKUP(Ram_4!$H$24,CA120:CB134,2,0),0)</f>
        <v>0</v>
      </c>
      <c r="AD134" s="814"/>
      <c r="AE134" s="814"/>
      <c r="AF134" s="814"/>
      <c r="AG134" s="814"/>
      <c r="AH134" s="814"/>
      <c r="AI134" s="814"/>
      <c r="AJ134" s="814"/>
      <c r="AK134" s="814"/>
      <c r="AL134" s="814"/>
      <c r="AM134" s="814"/>
      <c r="AN134" s="814"/>
      <c r="AO134" s="814"/>
      <c r="AR134" s="841"/>
      <c r="BD134" s="1" t="s">
        <v>1781</v>
      </c>
      <c r="BE134" s="1" t="s">
        <v>2235</v>
      </c>
      <c r="BM134" s="1" t="s">
        <v>2463</v>
      </c>
      <c r="BN134" s="1" t="s">
        <v>2463</v>
      </c>
      <c r="BS134" s="1" t="s">
        <v>593</v>
      </c>
      <c r="BT134" s="1" t="s">
        <v>516</v>
      </c>
      <c r="CA134" t="s">
        <v>2579</v>
      </c>
      <c r="CB134" t="s">
        <v>2481</v>
      </c>
    </row>
    <row r="135" spans="19:80" ht="16.350000000000001" customHeight="1" thickBot="1">
      <c r="S135" s="838">
        <f>Ram_1!AR131</f>
        <v>0</v>
      </c>
      <c r="W135" s="819" t="str">
        <f>'Translate&amp;Prices&amp;Logo'!$O$173</f>
        <v>Rodzaj szkła</v>
      </c>
      <c r="X135" s="819"/>
      <c r="Y135" s="819"/>
      <c r="Z135" s="819"/>
      <c r="AA135" s="819"/>
      <c r="AB135" s="366"/>
      <c r="AC135" s="814">
        <f>IFERROR(VLOOKUP(Ram_4!$H$25,kombinace_1!DT:DU,2,0),0)</f>
        <v>0</v>
      </c>
      <c r="AD135" s="814"/>
      <c r="AE135" s="814"/>
      <c r="AF135" s="814"/>
      <c r="AG135" s="814"/>
      <c r="AH135" s="814"/>
      <c r="AI135" s="814"/>
      <c r="AJ135" s="814"/>
      <c r="AK135" s="814"/>
      <c r="AL135" s="814"/>
      <c r="AM135" s="814"/>
      <c r="AN135" s="814"/>
      <c r="AO135" s="814"/>
      <c r="AR135" s="841"/>
      <c r="BM135" s="1" t="s">
        <v>597</v>
      </c>
      <c r="BN135" s="1" t="s">
        <v>519</v>
      </c>
      <c r="BS135" s="1" t="s">
        <v>594</v>
      </c>
      <c r="BT135" s="1" t="s">
        <v>517</v>
      </c>
    </row>
    <row r="136" spans="19:80" ht="16.350000000000001" customHeight="1">
      <c r="W136" s="819" t="str">
        <f>'Translate&amp;Prices&amp;Logo'!$O$549</f>
        <v>Rozstaw uchwytu (mm)</v>
      </c>
      <c r="X136" s="819"/>
      <c r="Y136" s="819"/>
      <c r="Z136" s="819"/>
      <c r="AA136" s="819"/>
      <c r="AB136" s="366"/>
      <c r="AC136" s="814">
        <f>Ram_4!$H$26</f>
        <v>0</v>
      </c>
      <c r="AD136" s="814"/>
      <c r="AE136" s="814"/>
      <c r="AF136" s="814"/>
      <c r="AG136" s="814"/>
      <c r="AH136" s="814"/>
      <c r="AI136" s="814"/>
      <c r="AJ136" s="814"/>
      <c r="AK136" s="814"/>
      <c r="AL136" s="814"/>
      <c r="AM136" s="814"/>
      <c r="AN136" s="814"/>
      <c r="AO136" s="814"/>
      <c r="AR136" s="841"/>
      <c r="BM136" s="1" t="s">
        <v>598</v>
      </c>
      <c r="BN136" s="1" t="s">
        <v>520</v>
      </c>
      <c r="BS136" s="1" t="s">
        <v>2528</v>
      </c>
      <c r="BT136" s="1" t="s">
        <v>2210</v>
      </c>
    </row>
    <row r="137" spans="19:80" ht="16.350000000000001" customHeight="1">
      <c r="W137" s="819" t="str">
        <f>'Translate&amp;Prices&amp;Logo'!$O$550</f>
        <v>Umieszczenie uchwytu</v>
      </c>
      <c r="X137" s="819"/>
      <c r="Y137" s="819"/>
      <c r="Z137" s="819"/>
      <c r="AA137" s="819"/>
      <c r="AB137" s="366"/>
      <c r="AC137" s="814">
        <f>IFERROR(VLOOKUP(Ram_4!$H$27,BS120:BT139,2,0),0)</f>
        <v>0</v>
      </c>
      <c r="AD137" s="814"/>
      <c r="AE137" s="814"/>
      <c r="AF137" s="814"/>
      <c r="AG137" s="814"/>
      <c r="AH137" s="814"/>
      <c r="AI137" s="814"/>
      <c r="AJ137" s="814"/>
      <c r="AK137" s="814"/>
      <c r="AL137" s="814"/>
      <c r="AM137" s="814"/>
      <c r="AN137" s="814"/>
      <c r="AO137" s="814"/>
      <c r="AR137" s="841"/>
      <c r="BM137" s="1" t="s">
        <v>599</v>
      </c>
      <c r="BN137" s="1" t="s">
        <v>521</v>
      </c>
      <c r="BS137" s="1" t="s">
        <v>1855</v>
      </c>
      <c r="BT137" s="1" t="s">
        <v>2462</v>
      </c>
    </row>
    <row r="138" spans="19:80" ht="16.350000000000001" customHeight="1">
      <c r="W138" s="819" t="str">
        <f>('Translate&amp;Prices&amp;Logo'!$O$174)&amp;" "&amp;"-"&amp;" "&amp;('Translate&amp;Prices&amp;Logo'!$O$169)&amp;" "&amp;" "&amp;1</f>
        <v>Ilość sztuk - Ramka  1</v>
      </c>
      <c r="X138" s="819"/>
      <c r="Y138" s="819"/>
      <c r="Z138" s="819"/>
      <c r="AA138" s="819"/>
      <c r="AB138" s="366"/>
      <c r="AC138" s="814">
        <f>Ram_4!$H$28</f>
        <v>0</v>
      </c>
      <c r="AD138" s="814"/>
      <c r="AE138" s="814"/>
      <c r="AF138" s="814"/>
      <c r="AG138" s="814"/>
      <c r="AH138" s="814"/>
      <c r="AI138" s="814"/>
      <c r="AJ138" s="814"/>
      <c r="AK138" s="814"/>
      <c r="AL138" s="814"/>
      <c r="AM138" s="814"/>
      <c r="AN138" s="814"/>
      <c r="AO138" s="814"/>
      <c r="AR138" s="841"/>
      <c r="BM138" s="1" t="s">
        <v>600</v>
      </c>
      <c r="BN138" s="1" t="s">
        <v>522</v>
      </c>
      <c r="BS138" s="1" t="s">
        <v>1814</v>
      </c>
      <c r="BT138" s="1" t="s">
        <v>516</v>
      </c>
    </row>
    <row r="139" spans="19:80" ht="16.350000000000001" customHeight="1">
      <c r="AE139" s="1"/>
      <c r="AF139" s="1"/>
      <c r="AR139" s="841"/>
      <c r="BM139" s="1" t="s">
        <v>2386</v>
      </c>
      <c r="BN139" s="1" t="s">
        <v>2463</v>
      </c>
      <c r="BS139" s="1" t="s">
        <v>1815</v>
      </c>
      <c r="BT139" s="1" t="s">
        <v>517</v>
      </c>
    </row>
    <row r="140" spans="19:80" ht="14.85" customHeight="1">
      <c r="AR140" s="841"/>
      <c r="BM140" s="1" t="s">
        <v>2529</v>
      </c>
      <c r="BN140" s="1" t="s">
        <v>519</v>
      </c>
    </row>
    <row r="141" spans="19:80" ht="14.85" customHeight="1">
      <c r="W141" s="822" t="s">
        <v>2828</v>
      </c>
      <c r="X141" s="822"/>
      <c r="Y141" s="822"/>
      <c r="Z141" s="822"/>
      <c r="AE141" s="822" t="s">
        <v>2829</v>
      </c>
      <c r="AF141" s="822"/>
      <c r="AG141" s="822"/>
      <c r="AH141" s="822"/>
      <c r="AR141" s="841"/>
      <c r="BM141" s="1" t="s">
        <v>2530</v>
      </c>
      <c r="BN141" s="1" t="s">
        <v>520</v>
      </c>
    </row>
    <row r="142" spans="19:80" ht="14.85" customHeight="1">
      <c r="AE142" s="823"/>
      <c r="AF142" s="824"/>
      <c r="AG142" s="824"/>
      <c r="AH142" s="824"/>
      <c r="AI142" s="824"/>
      <c r="AJ142" s="824"/>
      <c r="AK142" s="824"/>
      <c r="AL142" s="824"/>
      <c r="AM142" s="824"/>
      <c r="AN142" s="825"/>
      <c r="AR142" s="841"/>
      <c r="BM142" s="1" t="s">
        <v>2679</v>
      </c>
      <c r="BN142" s="1" t="s">
        <v>521</v>
      </c>
    </row>
    <row r="143" spans="19:80" ht="14.85" customHeight="1">
      <c r="AE143" s="826"/>
      <c r="AF143" s="827"/>
      <c r="AG143" s="827"/>
      <c r="AH143" s="827"/>
      <c r="AI143" s="827"/>
      <c r="AJ143" s="827"/>
      <c r="AK143" s="827"/>
      <c r="AL143" s="827"/>
      <c r="AM143" s="827"/>
      <c r="AN143" s="828"/>
      <c r="AR143" s="841"/>
      <c r="BM143" s="1" t="s">
        <v>2680</v>
      </c>
      <c r="BN143" s="1" t="s">
        <v>522</v>
      </c>
    </row>
    <row r="144" spans="19:80" ht="14.85" customHeight="1">
      <c r="AE144" s="826"/>
      <c r="AF144" s="827"/>
      <c r="AG144" s="827"/>
      <c r="AH144" s="827"/>
      <c r="AI144" s="827"/>
      <c r="AJ144" s="827"/>
      <c r="AK144" s="827"/>
      <c r="AL144" s="827"/>
      <c r="AM144" s="827"/>
      <c r="AN144" s="828"/>
      <c r="AR144" s="841"/>
      <c r="BM144" s="1" t="s">
        <v>2019</v>
      </c>
      <c r="BN144" s="1" t="s">
        <v>2463</v>
      </c>
    </row>
    <row r="145" spans="1:80" ht="14.85" customHeight="1">
      <c r="D145" s="821">
        <f>IF(OR(Ram_4!$AC$25="x",Ram_4!$AJ$26="x",Ram_4!$AC$9="x",Ram_4!$AJ$7="x",Ram_4!$AB$16="x",Ram_4!$AM$23="x",Ram_4!$AN$19="x",Ram_4!$AD$10="x"),'Translate&amp;Prices&amp;Logo'!$B$588,0)</f>
        <v>0</v>
      </c>
      <c r="E145" s="821"/>
      <c r="F145" s="821"/>
      <c r="G145" s="821"/>
      <c r="H145" s="821"/>
      <c r="I145" s="821"/>
      <c r="J145" s="821"/>
      <c r="K145" s="821"/>
      <c r="L145" s="821"/>
      <c r="M145" s="821"/>
      <c r="N145" s="821"/>
      <c r="O145" s="821"/>
      <c r="P145" s="821"/>
      <c r="AE145" s="826"/>
      <c r="AF145" s="827"/>
      <c r="AG145" s="827"/>
      <c r="AH145" s="827"/>
      <c r="AI145" s="827"/>
      <c r="AJ145" s="827"/>
      <c r="AK145" s="827"/>
      <c r="AL145" s="827"/>
      <c r="AM145" s="827"/>
      <c r="AN145" s="828"/>
      <c r="AR145" s="841"/>
    </row>
    <row r="146" spans="1:80" ht="14.85" customHeight="1">
      <c r="AE146" s="826"/>
      <c r="AF146" s="827"/>
      <c r="AG146" s="827"/>
      <c r="AH146" s="827"/>
      <c r="AI146" s="827"/>
      <c r="AJ146" s="827"/>
      <c r="AK146" s="827"/>
      <c r="AL146" s="827"/>
      <c r="AM146" s="827"/>
      <c r="AN146" s="828"/>
      <c r="AR146" s="841"/>
    </row>
    <row r="147" spans="1:80" ht="14.85" customHeight="1" thickBot="1">
      <c r="AE147" s="826"/>
      <c r="AF147" s="827"/>
      <c r="AG147" s="827"/>
      <c r="AH147" s="827"/>
      <c r="AI147" s="827"/>
      <c r="AJ147" s="827"/>
      <c r="AK147" s="827"/>
      <c r="AL147" s="827"/>
      <c r="AM147" s="827"/>
      <c r="AN147" s="828"/>
      <c r="AR147" s="841"/>
    </row>
    <row r="148" spans="1:80" ht="14.85" customHeight="1" thickBot="1">
      <c r="G148" s="832" t="str">
        <f>'Translate&amp;Prices&amp;Logo'!$O$175</f>
        <v>Szerokość</v>
      </c>
      <c r="H148" s="833">
        <f>Ram_1!AG138</f>
        <v>0</v>
      </c>
      <c r="I148" s="833">
        <f>Ram_1!AH138</f>
        <v>0</v>
      </c>
      <c r="J148" s="812">
        <f>Ram_4!AI30</f>
        <v>0</v>
      </c>
      <c r="K148" s="812">
        <f>Ram_1!AJ138</f>
        <v>0</v>
      </c>
      <c r="L148" s="813">
        <f>Ram_1!AK138</f>
        <v>0</v>
      </c>
      <c r="AE148" s="826"/>
      <c r="AF148" s="827"/>
      <c r="AG148" s="827"/>
      <c r="AH148" s="827"/>
      <c r="AI148" s="827"/>
      <c r="AJ148" s="827"/>
      <c r="AK148" s="827"/>
      <c r="AL148" s="827"/>
      <c r="AM148" s="827"/>
      <c r="AN148" s="828"/>
      <c r="AR148" s="841"/>
    </row>
    <row r="149" spans="1:80" ht="21" customHeight="1">
      <c r="AE149" s="829"/>
      <c r="AF149" s="830"/>
      <c r="AG149" s="830"/>
      <c r="AH149" s="830"/>
      <c r="AI149" s="830"/>
      <c r="AJ149" s="830"/>
      <c r="AK149" s="830"/>
      <c r="AL149" s="830"/>
      <c r="AM149" s="830"/>
      <c r="AN149" s="831"/>
      <c r="AR149" s="841"/>
    </row>
    <row r="150" spans="1:80" ht="14.85" customHeight="1">
      <c r="AR150" s="841"/>
    </row>
    <row r="151" spans="1:80" ht="14.85" customHeight="1">
      <c r="AR151" s="841"/>
    </row>
    <row r="152" spans="1:80" ht="14.85" customHeight="1" thickBot="1">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435"/>
      <c r="AF152" s="436"/>
      <c r="AG152" s="273"/>
      <c r="AH152" s="273"/>
      <c r="AI152" s="273"/>
      <c r="AJ152" s="273"/>
      <c r="AK152" s="273"/>
      <c r="AL152" s="273"/>
      <c r="AM152" s="273"/>
      <c r="AN152" s="273"/>
      <c r="AO152" s="273"/>
      <c r="AP152" s="273"/>
      <c r="AQ152" s="273"/>
      <c r="AR152" s="273"/>
    </row>
    <row r="153" spans="1:80" ht="35.1" customHeight="1" thickBot="1">
      <c r="J153" s="432"/>
      <c r="K153" s="432"/>
      <c r="L153" s="432"/>
      <c r="M153" s="432"/>
      <c r="N153" s="432"/>
      <c r="O153" s="432"/>
      <c r="P153" s="432"/>
      <c r="Q153" s="432"/>
      <c r="R153" s="432"/>
      <c r="S153" s="432"/>
      <c r="T153" s="432"/>
      <c r="U153" s="432"/>
      <c r="V153" s="432"/>
      <c r="W153" s="818" t="str">
        <f>'Translate&amp;Prices&amp;Logo'!$O$256</f>
        <v>Numer zamówienia</v>
      </c>
      <c r="X153" s="818"/>
      <c r="Y153" s="818"/>
      <c r="Z153" s="818"/>
      <c r="AA153" s="818"/>
      <c r="AB153" s="366"/>
      <c r="AC153" s="815"/>
      <c r="AD153" s="816"/>
      <c r="AE153" s="816"/>
      <c r="AF153" s="816"/>
      <c r="AG153" s="816"/>
      <c r="AH153" s="816"/>
      <c r="AI153" s="816"/>
      <c r="AJ153" s="816"/>
      <c r="AK153" s="816"/>
      <c r="AL153" s="816"/>
      <c r="AM153" s="816"/>
      <c r="AN153" s="816"/>
      <c r="AO153" s="817"/>
      <c r="AR153" s="841" t="s">
        <v>2834</v>
      </c>
    </row>
    <row r="154" spans="1:80" ht="16.350000000000001" customHeight="1">
      <c r="W154" s="819" t="str">
        <f>'Translate&amp;Prices&amp;Logo'!$O$542</f>
        <v>Połączenie 2 profili</v>
      </c>
      <c r="X154" s="819"/>
      <c r="Y154" s="819"/>
      <c r="Z154" s="819"/>
      <c r="AA154" s="819"/>
      <c r="AB154" s="366"/>
      <c r="AC154" s="842" t="str">
        <f>IF(kombinace_5!$H$1=TRUE,"Tak","Nie")</f>
        <v>Nie</v>
      </c>
      <c r="AD154" s="842"/>
      <c r="AE154" s="842"/>
      <c r="AF154" s="842"/>
      <c r="AG154" s="842"/>
      <c r="AH154" s="842"/>
      <c r="AI154" s="842"/>
      <c r="AJ154" s="842"/>
      <c r="AK154" s="842"/>
      <c r="AL154" s="842"/>
      <c r="AM154" s="842"/>
      <c r="AN154" s="842"/>
      <c r="AO154" s="842"/>
      <c r="AR154" s="841"/>
    </row>
    <row r="155" spans="1:80" ht="16.350000000000001" customHeight="1">
      <c r="W155" s="819" t="str">
        <f>'Translate&amp;Prices&amp;Logo'!$O$172</f>
        <v>Rodzaj profilu</v>
      </c>
      <c r="X155" s="819"/>
      <c r="Y155" s="819"/>
      <c r="Z155" s="819"/>
      <c r="AA155" s="819"/>
      <c r="AB155" s="366"/>
      <c r="AC155" s="814">
        <f>IFERROR(VLOOKUP(Ram_5!$H$8,kombinace_1!DW:DY,2,0),0)</f>
        <v>0</v>
      </c>
      <c r="AD155" s="814"/>
      <c r="AE155" s="814"/>
      <c r="AF155" s="814"/>
      <c r="AG155" s="814"/>
      <c r="AH155" s="814"/>
      <c r="AI155" s="814"/>
      <c r="AJ155" s="814"/>
      <c r="AK155" s="814"/>
      <c r="AL155" s="814"/>
      <c r="AM155" s="814"/>
      <c r="AN155" s="814"/>
      <c r="AO155" s="814"/>
      <c r="AR155" s="841"/>
    </row>
    <row r="156" spans="1:80" ht="16.350000000000001" customHeight="1">
      <c r="W156" s="819" t="str">
        <f>'Translate&amp;Prices&amp;Logo'!$O$543</f>
        <v>Szprosy</v>
      </c>
      <c r="X156" s="819"/>
      <c r="Y156" s="819"/>
      <c r="Z156" s="819"/>
      <c r="AA156" s="819"/>
      <c r="AB156" s="366"/>
      <c r="AC156" s="814" t="str">
        <f>IFERROR(VLOOKUP(Ram_5!$AU$10,AU156:AV159,2,0),0)</f>
        <v>Nie</v>
      </c>
      <c r="AD156" s="814"/>
      <c r="AE156" s="814"/>
      <c r="AF156" s="814"/>
      <c r="AG156" s="814"/>
      <c r="AH156" s="814"/>
      <c r="AI156" s="814"/>
      <c r="AJ156" s="814"/>
      <c r="AK156" s="814"/>
      <c r="AL156" s="814"/>
      <c r="AM156" s="814"/>
      <c r="AN156" s="814"/>
      <c r="AO156" s="814"/>
      <c r="AR156" s="841"/>
      <c r="AU156">
        <v>0</v>
      </c>
      <c r="AV156" t="str">
        <f>'Translate&amp;Prices&amp;Logo'!$O$557</f>
        <v>Nie</v>
      </c>
      <c r="AZ156">
        <v>2</v>
      </c>
      <c r="BA156" t="str">
        <f>'Translate&amp;Prices&amp;Logo'!$O$551</f>
        <v>Zawiasy</v>
      </c>
      <c r="BD156" s="1" t="s">
        <v>125</v>
      </c>
      <c r="BE156" s="1" t="s">
        <v>485</v>
      </c>
      <c r="BI156" s="1" t="s">
        <v>98</v>
      </c>
      <c r="BJ156" s="1" t="s">
        <v>479</v>
      </c>
      <c r="BM156" s="1" t="s">
        <v>245</v>
      </c>
      <c r="BN156" s="1" t="s">
        <v>519</v>
      </c>
      <c r="BS156" s="1" t="s">
        <v>251</v>
      </c>
      <c r="BT156" s="1" t="s">
        <v>2210</v>
      </c>
      <c r="BX156" s="1">
        <v>1</v>
      </c>
      <c r="BY156" s="1" t="str">
        <f>'Translate&amp;Prices&amp;Logo'!$O$100</f>
        <v>Bez modyfikacji</v>
      </c>
      <c r="CA156" t="s">
        <v>2007</v>
      </c>
      <c r="CB156" t="s">
        <v>2479</v>
      </c>
    </row>
    <row r="157" spans="1:80" ht="16.350000000000001" customHeight="1">
      <c r="W157" s="437"/>
      <c r="X157" s="437"/>
      <c r="Y157" s="437"/>
      <c r="Z157" s="437"/>
      <c r="AA157" s="437"/>
      <c r="AB157" s="438"/>
      <c r="AC157" s="843" t="str">
        <f>'Translate&amp;Prices&amp;Logo'!$O$558</f>
        <v>Poziomo</v>
      </c>
      <c r="AD157" s="843"/>
      <c r="AE157" s="843"/>
      <c r="AF157" s="843"/>
      <c r="AG157" s="843"/>
      <c r="AH157" s="843"/>
      <c r="AI157" s="843"/>
      <c r="AJ157" s="843" t="str">
        <f>'Translate&amp;Prices&amp;Logo'!$O$559</f>
        <v>Pionowo</v>
      </c>
      <c r="AK157" s="843"/>
      <c r="AL157" s="843"/>
      <c r="AM157" s="843"/>
      <c r="AN157" s="843"/>
      <c r="AO157" s="843"/>
      <c r="AR157" s="841"/>
      <c r="AU157">
        <v>1</v>
      </c>
      <c r="AV157" t="str">
        <f>'Translate&amp;Prices&amp;Logo'!$O$558</f>
        <v>Poziomo</v>
      </c>
      <c r="AZ157">
        <v>3</v>
      </c>
      <c r="BA157" t="str">
        <f>'Translate&amp;Prices&amp;Logo'!$O$552</f>
        <v>Podnośniki</v>
      </c>
      <c r="BD157" s="1" t="s">
        <v>126</v>
      </c>
      <c r="BE157" s="1" t="s">
        <v>486</v>
      </c>
      <c r="BI157" s="1" t="s">
        <v>97</v>
      </c>
      <c r="BJ157" s="1" t="s">
        <v>480</v>
      </c>
      <c r="BM157" s="1" t="s">
        <v>246</v>
      </c>
      <c r="BN157" s="1" t="s">
        <v>520</v>
      </c>
      <c r="BS157" s="1" t="s">
        <v>252</v>
      </c>
      <c r="BT157" s="1" t="s">
        <v>2462</v>
      </c>
      <c r="BX157" s="1">
        <v>2</v>
      </c>
      <c r="BY157" s="1" t="str">
        <f>'Translate&amp;Prices&amp;Logo'!$O$101</f>
        <v>Hartowane</v>
      </c>
      <c r="CA157" t="s">
        <v>2010</v>
      </c>
      <c r="CB157" t="s">
        <v>2480</v>
      </c>
    </row>
    <row r="158" spans="1:80" ht="16.350000000000001" customHeight="1">
      <c r="W158" s="819" t="str">
        <f>('Translate&amp;Prices&amp;Logo'!$O$543)&amp;" "&amp;"("&amp;'Translate&amp;Prices&amp;Logo'!$O$174&amp;")"</f>
        <v>Szprosy (Ilość sztuk)</v>
      </c>
      <c r="X158" s="819"/>
      <c r="Y158" s="819"/>
      <c r="Z158" s="819"/>
      <c r="AA158" s="819"/>
      <c r="AB158" s="366"/>
      <c r="AC158" s="814">
        <f>Ram_5!$H$11</f>
        <v>0</v>
      </c>
      <c r="AD158" s="814"/>
      <c r="AE158" s="814"/>
      <c r="AF158" s="814"/>
      <c r="AG158" s="814"/>
      <c r="AH158" s="814"/>
      <c r="AI158" s="814"/>
      <c r="AJ158" s="814">
        <f>Ram_5!$M$11</f>
        <v>0</v>
      </c>
      <c r="AK158" s="814"/>
      <c r="AL158" s="814"/>
      <c r="AM158" s="814"/>
      <c r="AN158" s="814"/>
      <c r="AO158" s="814"/>
      <c r="AR158" s="841"/>
      <c r="AU158">
        <v>2</v>
      </c>
      <c r="AV158" t="str">
        <f>'Translate&amp;Prices&amp;Logo'!$O$559</f>
        <v>Pionowo</v>
      </c>
      <c r="BD158" s="1" t="s">
        <v>127</v>
      </c>
      <c r="BE158" s="1" t="s">
        <v>2235</v>
      </c>
      <c r="BI158" s="1" t="s">
        <v>420</v>
      </c>
      <c r="BJ158" s="1" t="s">
        <v>479</v>
      </c>
      <c r="BM158" s="1" t="s">
        <v>248</v>
      </c>
      <c r="BN158" s="1" t="s">
        <v>521</v>
      </c>
      <c r="BS158" s="1" t="s">
        <v>242</v>
      </c>
      <c r="BT158" s="1" t="s">
        <v>516</v>
      </c>
      <c r="BX158" s="1">
        <v>3</v>
      </c>
      <c r="BY158" s="1" t="str">
        <f>'Translate&amp;Prices&amp;Logo'!$O$102</f>
        <v>Folia</v>
      </c>
      <c r="CA158" t="s">
        <v>2013</v>
      </c>
      <c r="CB158" t="s">
        <v>2481</v>
      </c>
    </row>
    <row r="159" spans="1:80" ht="16.350000000000001" customHeight="1">
      <c r="W159" s="819" t="str">
        <f>'Translate&amp;Prices&amp;Logo'!$O$258</f>
        <v>Typ okucia</v>
      </c>
      <c r="X159" s="819"/>
      <c r="Y159" s="819"/>
      <c r="Z159" s="819"/>
      <c r="AA159" s="819"/>
      <c r="AB159" s="366"/>
      <c r="AC159" s="814">
        <f>IFERROR(VLOOKUP(Ram_5!$AU$9,AZ156:BA157,2,0),0)</f>
        <v>0</v>
      </c>
      <c r="AD159" s="814"/>
      <c r="AE159" s="814"/>
      <c r="AF159" s="814"/>
      <c r="AG159" s="814"/>
      <c r="AH159" s="814"/>
      <c r="AI159" s="814"/>
      <c r="AJ159" s="814"/>
      <c r="AK159" s="814"/>
      <c r="AL159" s="814"/>
      <c r="AM159" s="814"/>
      <c r="AN159" s="814"/>
      <c r="AO159" s="814"/>
      <c r="AR159" s="841"/>
      <c r="AU159">
        <v>3</v>
      </c>
      <c r="AV159" t="str">
        <f>'Translate&amp;Prices&amp;Logo'!$O$560</f>
        <v>Poziomo i pionowo</v>
      </c>
      <c r="BD159" s="1" t="s">
        <v>125</v>
      </c>
      <c r="BE159" s="1" t="s">
        <v>485</v>
      </c>
      <c r="BI159" s="1" t="s">
        <v>421</v>
      </c>
      <c r="BJ159" s="1" t="s">
        <v>480</v>
      </c>
      <c r="BM159" s="1" t="s">
        <v>247</v>
      </c>
      <c r="BN159" s="1" t="s">
        <v>522</v>
      </c>
      <c r="BS159" s="1" t="s">
        <v>241</v>
      </c>
      <c r="BT159" s="1" t="s">
        <v>517</v>
      </c>
      <c r="CA159" t="s">
        <v>2318</v>
      </c>
      <c r="CB159" t="s">
        <v>2479</v>
      </c>
    </row>
    <row r="160" spans="1:80" ht="16.350000000000001" customHeight="1">
      <c r="W160" s="819" t="str">
        <f>'Translate&amp;Prices&amp;Logo'!$O$544</f>
        <v>Marka okucia</v>
      </c>
      <c r="X160" s="819"/>
      <c r="Y160" s="819"/>
      <c r="Z160" s="819"/>
      <c r="AA160" s="819"/>
      <c r="AB160" s="366"/>
      <c r="AC160" s="814">
        <f>Ram_5!$H$13</f>
        <v>0</v>
      </c>
      <c r="AD160" s="814"/>
      <c r="AE160" s="814"/>
      <c r="AF160" s="814"/>
      <c r="AG160" s="814"/>
      <c r="AH160" s="814"/>
      <c r="AI160" s="814"/>
      <c r="AJ160" s="814"/>
      <c r="AK160" s="814"/>
      <c r="AL160" s="814"/>
      <c r="AM160" s="814"/>
      <c r="AN160" s="814"/>
      <c r="AO160" s="814"/>
      <c r="AR160" s="841"/>
      <c r="BD160" s="1" t="s">
        <v>126</v>
      </c>
      <c r="BE160" s="1" t="s">
        <v>486</v>
      </c>
      <c r="BI160" s="1" t="s">
        <v>740</v>
      </c>
      <c r="BJ160" s="1" t="s">
        <v>479</v>
      </c>
      <c r="BM160" s="1" t="s">
        <v>249</v>
      </c>
      <c r="BN160" s="1" t="s">
        <v>2463</v>
      </c>
      <c r="BS160" s="1" t="s">
        <v>2212</v>
      </c>
      <c r="BT160" s="1" t="s">
        <v>2210</v>
      </c>
      <c r="CA160" t="s">
        <v>2319</v>
      </c>
      <c r="CB160" t="s">
        <v>2480</v>
      </c>
    </row>
    <row r="161" spans="19:80" ht="16.350000000000001" customHeight="1" thickBot="1">
      <c r="W161" s="819" t="str">
        <f>'Translate&amp;Prices&amp;Logo'!$O$546</f>
        <v>Nałożenie</v>
      </c>
      <c r="X161" s="819"/>
      <c r="Y161" s="819"/>
      <c r="Z161" s="819"/>
      <c r="AA161" s="819"/>
      <c r="AB161" s="366"/>
      <c r="AC161" s="814">
        <f>IFERROR(VLOOKUP(Ram_5!$H$14,BD156:BE170,2,0),0)</f>
        <v>0</v>
      </c>
      <c r="AD161" s="814"/>
      <c r="AE161" s="814"/>
      <c r="AF161" s="814"/>
      <c r="AG161" s="814"/>
      <c r="AH161" s="814"/>
      <c r="AI161" s="814"/>
      <c r="AJ161" s="814"/>
      <c r="AK161" s="814"/>
      <c r="AL161" s="814"/>
      <c r="AM161" s="814"/>
      <c r="AN161" s="814"/>
      <c r="AO161" s="814"/>
      <c r="AR161" s="841"/>
      <c r="BD161" s="1" t="s">
        <v>127</v>
      </c>
      <c r="BE161" s="1" t="s">
        <v>2235</v>
      </c>
      <c r="BI161" s="1" t="s">
        <v>556</v>
      </c>
      <c r="BJ161" s="1" t="s">
        <v>480</v>
      </c>
      <c r="BM161" s="1" t="s">
        <v>454</v>
      </c>
      <c r="BN161" s="1" t="s">
        <v>519</v>
      </c>
      <c r="BS161" s="1" t="s">
        <v>252</v>
      </c>
      <c r="BT161" s="1" t="s">
        <v>2462</v>
      </c>
      <c r="CA161" t="s">
        <v>2320</v>
      </c>
      <c r="CB161" t="s">
        <v>2481</v>
      </c>
    </row>
    <row r="162" spans="19:80" ht="16.350000000000001" customHeight="1">
      <c r="S162" s="839">
        <f>Ram_5!AR14</f>
        <v>0</v>
      </c>
      <c r="W162" s="819" t="str">
        <f>'Translate&amp;Prices&amp;Logo'!$O$545</f>
        <v>Wariant okucia</v>
      </c>
      <c r="X162" s="819"/>
      <c r="Y162" s="819"/>
      <c r="Z162" s="819"/>
      <c r="AA162" s="819"/>
      <c r="AB162" s="366"/>
      <c r="AC162" s="814">
        <f>IFERROR(VLOOKUP(Ram_5!$H$15,kombinace_1!$ED:$EE,2,0),Ram_5!$H$15)</f>
        <v>0</v>
      </c>
      <c r="AD162" s="814"/>
      <c r="AE162" s="814"/>
      <c r="AF162" s="814"/>
      <c r="AG162" s="814"/>
      <c r="AH162" s="814"/>
      <c r="AI162" s="814"/>
      <c r="AJ162" s="814"/>
      <c r="AK162" s="814"/>
      <c r="AL162" s="814"/>
      <c r="AM162" s="814"/>
      <c r="AN162" s="814"/>
      <c r="AO162" s="814"/>
      <c r="AR162" s="841"/>
      <c r="BD162" s="1" t="s">
        <v>485</v>
      </c>
      <c r="BE162" s="1" t="s">
        <v>485</v>
      </c>
      <c r="BI162" s="1" t="s">
        <v>2521</v>
      </c>
      <c r="BJ162" s="1" t="s">
        <v>479</v>
      </c>
      <c r="BM162" s="1" t="s">
        <v>455</v>
      </c>
      <c r="BN162" s="1" t="s">
        <v>520</v>
      </c>
      <c r="BS162" s="1" t="s">
        <v>450</v>
      </c>
      <c r="BT162" s="1" t="s">
        <v>516</v>
      </c>
      <c r="CA162" t="s">
        <v>2479</v>
      </c>
      <c r="CB162" t="s">
        <v>2479</v>
      </c>
    </row>
    <row r="163" spans="19:80" ht="16.350000000000001" customHeight="1">
      <c r="S163" s="840">
        <f>Ram_1!AR159</f>
        <v>0</v>
      </c>
      <c r="W163" s="819" t="str">
        <f>'Translate&amp;Prices&amp;Logo'!$O$218</f>
        <v>Wybierz pozycję ramki</v>
      </c>
      <c r="X163" s="819"/>
      <c r="Y163" s="819"/>
      <c r="Z163" s="819"/>
      <c r="AA163" s="819"/>
      <c r="AB163" s="814">
        <f>IFERROR(VLOOKUP(Ram_5!$F$16,BI156:BJ165,2,0),0)</f>
        <v>0</v>
      </c>
      <c r="AC163" s="814"/>
      <c r="AD163" s="814"/>
      <c r="AE163" s="814"/>
      <c r="AF163" s="814"/>
      <c r="AG163" s="819" t="str">
        <f>'Translate&amp;Prices&amp;Logo'!$O$232</f>
        <v>Rodzaj drugiej ramki</v>
      </c>
      <c r="AH163" s="819"/>
      <c r="AI163" s="819"/>
      <c r="AJ163" s="819"/>
      <c r="AK163" s="819"/>
      <c r="AL163" s="814">
        <f>IFERROR(VLOOKUP(Ram_5!$N$16,BM156:BN180,2,0),0)</f>
        <v>0</v>
      </c>
      <c r="AM163" s="814"/>
      <c r="AN163" s="814"/>
      <c r="AO163" s="814"/>
      <c r="AR163" s="841"/>
      <c r="BD163" s="1" t="s">
        <v>486</v>
      </c>
      <c r="BE163" s="1" t="s">
        <v>486</v>
      </c>
      <c r="BI163" s="1" t="s">
        <v>2522</v>
      </c>
      <c r="BJ163" s="1" t="s">
        <v>480</v>
      </c>
      <c r="BM163" s="1" t="s">
        <v>456</v>
      </c>
      <c r="BN163" s="1" t="s">
        <v>521</v>
      </c>
      <c r="BS163" s="1" t="s">
        <v>451</v>
      </c>
      <c r="BT163" s="1" t="s">
        <v>517</v>
      </c>
      <c r="CA163" t="s">
        <v>2480</v>
      </c>
      <c r="CB163" t="s">
        <v>2480</v>
      </c>
    </row>
    <row r="164" spans="19:80" ht="16.350000000000001" customHeight="1">
      <c r="S164" s="840">
        <f>Ram_1!AR160</f>
        <v>0</v>
      </c>
      <c r="W164" s="819" t="str">
        <f>'Translate&amp;Prices&amp;Logo'!$O$238</f>
        <v>Umieszczenie zawiasu</v>
      </c>
      <c r="X164" s="819"/>
      <c r="Y164" s="819"/>
      <c r="Z164" s="819"/>
      <c r="AA164" s="819"/>
      <c r="AB164" s="366"/>
      <c r="AC164" s="814">
        <f>IFERROR(VLOOKUP(Ram_5!$H$17,BS156:BT175,2,0),0)</f>
        <v>0</v>
      </c>
      <c r="AD164" s="814"/>
      <c r="AE164" s="814"/>
      <c r="AF164" s="814"/>
      <c r="AG164" s="814"/>
      <c r="AH164" s="814"/>
      <c r="AI164" s="814"/>
      <c r="AJ164" s="814"/>
      <c r="AK164" s="814"/>
      <c r="AL164" s="814"/>
      <c r="AM164" s="814"/>
      <c r="AN164" s="814"/>
      <c r="AO164" s="814"/>
      <c r="AR164" s="841"/>
      <c r="BD164" s="1" t="s">
        <v>2235</v>
      </c>
      <c r="BE164" s="1" t="s">
        <v>2235</v>
      </c>
      <c r="BI164" s="1" t="s">
        <v>479</v>
      </c>
      <c r="BJ164" s="1" t="s">
        <v>479</v>
      </c>
      <c r="BM164" s="1" t="s">
        <v>457</v>
      </c>
      <c r="BN164" s="1" t="s">
        <v>522</v>
      </c>
      <c r="BS164" s="1" t="s">
        <v>2210</v>
      </c>
      <c r="BT164" s="1" t="s">
        <v>2210</v>
      </c>
      <c r="CA164" t="s">
        <v>2481</v>
      </c>
      <c r="CB164" t="s">
        <v>2481</v>
      </c>
    </row>
    <row r="165" spans="19:80" ht="16.350000000000001" customHeight="1">
      <c r="S165" s="840">
        <f>Ram_1!AR161</f>
        <v>0</v>
      </c>
      <c r="W165" s="819" t="str">
        <f>'Translate&amp;Prices&amp;Logo'!$O$547</f>
        <v>Zawiasy do podnośników</v>
      </c>
      <c r="X165" s="819"/>
      <c r="Y165" s="819"/>
      <c r="Z165" s="819"/>
      <c r="AA165" s="819"/>
      <c r="AB165" s="366"/>
      <c r="AC165" s="814">
        <f>Ram_5!$H$18</f>
        <v>0</v>
      </c>
      <c r="AD165" s="814"/>
      <c r="AE165" s="814"/>
      <c r="AF165" s="814"/>
      <c r="AG165" s="814"/>
      <c r="AH165" s="814"/>
      <c r="AI165" s="814"/>
      <c r="AJ165" s="814"/>
      <c r="AK165" s="814"/>
      <c r="AL165" s="814"/>
      <c r="AM165" s="814"/>
      <c r="AN165" s="814"/>
      <c r="AO165" s="814"/>
      <c r="AR165" s="841"/>
      <c r="BD165" s="1" t="s">
        <v>561</v>
      </c>
      <c r="BE165" s="1" t="s">
        <v>485</v>
      </c>
      <c r="BI165" s="1" t="s">
        <v>480</v>
      </c>
      <c r="BJ165" s="1" t="s">
        <v>480</v>
      </c>
      <c r="BM165" s="1" t="s">
        <v>458</v>
      </c>
      <c r="BN165" s="1" t="s">
        <v>2463</v>
      </c>
      <c r="BS165" s="1" t="s">
        <v>2462</v>
      </c>
      <c r="BT165" s="1" t="s">
        <v>2462</v>
      </c>
      <c r="CA165" t="s">
        <v>2321</v>
      </c>
      <c r="CB165" t="s">
        <v>2479</v>
      </c>
    </row>
    <row r="166" spans="19:80" ht="16.350000000000001" customHeight="1">
      <c r="S166" s="840">
        <f>Ram_1!AR162</f>
        <v>0</v>
      </c>
      <c r="W166" s="819" t="str">
        <f>'Translate&amp;Prices&amp;Logo'!$O$223</f>
        <v>Ilość zawiasów na 1 ramkę</v>
      </c>
      <c r="X166" s="819"/>
      <c r="Y166" s="819"/>
      <c r="Z166" s="819"/>
      <c r="AA166" s="819"/>
      <c r="AB166" s="366"/>
      <c r="AC166" s="814">
        <f>Ram_5!$H$19</f>
        <v>0</v>
      </c>
      <c r="AD166" s="814"/>
      <c r="AE166" s="814"/>
      <c r="AF166" s="814"/>
      <c r="AG166" s="814"/>
      <c r="AH166" s="814"/>
      <c r="AI166" s="814"/>
      <c r="AJ166" s="814"/>
      <c r="AK166" s="814"/>
      <c r="AL166" s="814"/>
      <c r="AM166" s="814"/>
      <c r="AN166" s="814"/>
      <c r="AO166" s="814"/>
      <c r="AR166" s="841"/>
      <c r="BD166" s="1" t="s">
        <v>562</v>
      </c>
      <c r="BE166" s="1" t="s">
        <v>486</v>
      </c>
      <c r="BM166" s="1" t="s">
        <v>519</v>
      </c>
      <c r="BN166" s="1" t="s">
        <v>519</v>
      </c>
      <c r="BS166" s="1" t="s">
        <v>516</v>
      </c>
      <c r="BT166" s="1" t="s">
        <v>516</v>
      </c>
      <c r="CA166" t="s">
        <v>2427</v>
      </c>
      <c r="CB166" t="s">
        <v>2480</v>
      </c>
    </row>
    <row r="167" spans="19:80" ht="16.350000000000001" customHeight="1">
      <c r="S167" s="837" t="str">
        <f>'Translate&amp;Prices&amp;Logo'!$O$176</f>
        <v>Wysokość</v>
      </c>
      <c r="W167" s="819" t="e">
        <f>'Translate&amp;Prices&amp;Logo'!$O$242&amp;" "&amp;VLOOKUP(Ram_5!H17,kombinace_1!$BY$32:$CC$35,5,0)</f>
        <v>#N/A</v>
      </c>
      <c r="X167" s="819"/>
      <c r="Y167" s="819"/>
      <c r="Z167" s="819"/>
      <c r="AA167" s="819"/>
      <c r="AB167" s="814">
        <f>Ram_5!$F$20</f>
        <v>100</v>
      </c>
      <c r="AC167" s="814"/>
      <c r="AD167" s="814"/>
      <c r="AE167" s="814"/>
      <c r="AF167" s="814"/>
      <c r="AG167" s="819" t="e">
        <f>'Translate&amp;Prices&amp;Logo'!$O$242&amp;" "&amp;VLOOKUP(Ram_4!H17,kombinace_1!$BY$32:$CD$35,6,0)</f>
        <v>#N/A</v>
      </c>
      <c r="AH167" s="819"/>
      <c r="AI167" s="819"/>
      <c r="AJ167" s="819"/>
      <c r="AK167" s="819"/>
      <c r="AL167" s="814">
        <f>Ram_5!$N$20</f>
        <v>100</v>
      </c>
      <c r="AM167" s="814"/>
      <c r="AN167" s="814"/>
      <c r="AO167" s="814"/>
      <c r="AR167" s="841"/>
      <c r="BD167" s="1" t="s">
        <v>563</v>
      </c>
      <c r="BE167" s="1" t="s">
        <v>2235</v>
      </c>
      <c r="BM167" s="1" t="s">
        <v>520</v>
      </c>
      <c r="BN167" s="1" t="s">
        <v>520</v>
      </c>
      <c r="BS167" s="1" t="s">
        <v>517</v>
      </c>
      <c r="BT167" s="1" t="s">
        <v>517</v>
      </c>
      <c r="CA167" t="s">
        <v>2322</v>
      </c>
      <c r="CB167" t="s">
        <v>2481</v>
      </c>
    </row>
    <row r="168" spans="19:80" ht="16.350000000000001" customHeight="1">
      <c r="S168" s="837">
        <f>Ram_1!AR164</f>
        <v>0</v>
      </c>
      <c r="W168" s="437"/>
      <c r="X168" s="437"/>
      <c r="Y168" s="437"/>
      <c r="Z168" s="437"/>
      <c r="AA168" s="437"/>
      <c r="AB168" s="438"/>
      <c r="AC168" s="438"/>
      <c r="AD168" s="438"/>
      <c r="AE168" s="438"/>
      <c r="AF168" s="438"/>
      <c r="AG168" s="438"/>
      <c r="AH168" s="438"/>
      <c r="AI168" s="438"/>
      <c r="AJ168" s="438"/>
      <c r="AK168" s="438"/>
      <c r="AL168" s="438"/>
      <c r="AM168" s="438"/>
      <c r="AN168" s="438"/>
      <c r="AO168" s="438"/>
      <c r="AR168" s="841"/>
      <c r="BD168" s="1" t="s">
        <v>2800</v>
      </c>
      <c r="BE168" s="1" t="s">
        <v>485</v>
      </c>
      <c r="BM168" s="1" t="s">
        <v>521</v>
      </c>
      <c r="BN168" s="1" t="s">
        <v>521</v>
      </c>
      <c r="BS168" s="1" t="s">
        <v>2211</v>
      </c>
      <c r="BT168" s="1" t="s">
        <v>2210</v>
      </c>
      <c r="CA168" t="s">
        <v>2577</v>
      </c>
      <c r="CB168" t="s">
        <v>2479</v>
      </c>
    </row>
    <row r="169" spans="19:80" ht="16.350000000000001" customHeight="1">
      <c r="S169" s="837">
        <f>Ram_1!AR165</f>
        <v>0</v>
      </c>
      <c r="W169" s="819" t="str">
        <f>'Translate&amp;Prices&amp;Logo'!$O$173</f>
        <v>Rodzaj szkła</v>
      </c>
      <c r="X169" s="819"/>
      <c r="Y169" s="819"/>
      <c r="Z169" s="819"/>
      <c r="AA169" s="819"/>
      <c r="AB169" s="366"/>
      <c r="AC169" s="814" t="str">
        <f>IFERROR(VLOOKUP(kombinace_5!$V$1,BX156:BY158,2,0),0)</f>
        <v>Bez modyfikacji</v>
      </c>
      <c r="AD169" s="814"/>
      <c r="AE169" s="814"/>
      <c r="AF169" s="814"/>
      <c r="AG169" s="814"/>
      <c r="AH169" s="814"/>
      <c r="AI169" s="814"/>
      <c r="AJ169" s="814"/>
      <c r="AK169" s="814"/>
      <c r="AL169" s="814"/>
      <c r="AM169" s="814"/>
      <c r="AN169" s="814"/>
      <c r="AO169" s="814"/>
      <c r="AR169" s="841"/>
      <c r="BD169" s="1" t="s">
        <v>2651</v>
      </c>
      <c r="BE169" s="1" t="s">
        <v>486</v>
      </c>
      <c r="BM169" s="1" t="s">
        <v>522</v>
      </c>
      <c r="BN169" s="1" t="s">
        <v>522</v>
      </c>
      <c r="BS169" s="1" t="s">
        <v>2213</v>
      </c>
      <c r="BT169" s="1" t="s">
        <v>2462</v>
      </c>
      <c r="CA169" t="s">
        <v>2578</v>
      </c>
      <c r="CB169" t="s">
        <v>2480</v>
      </c>
    </row>
    <row r="170" spans="19:80" ht="16.350000000000001" customHeight="1">
      <c r="S170" s="837">
        <f>Ram_1!AR166</f>
        <v>0</v>
      </c>
      <c r="W170" s="819" t="str">
        <f>'Translate&amp;Prices&amp;Logo'!$O$562</f>
        <v>Rodzaj folii</v>
      </c>
      <c r="X170" s="819"/>
      <c r="Y170" s="819"/>
      <c r="Z170" s="819"/>
      <c r="AA170" s="819"/>
      <c r="AB170" s="366"/>
      <c r="AC170" s="814">
        <f>IFERROR(VLOOKUP(Ram_5!$H$24,CA156:CB170,2,0),0)</f>
        <v>0</v>
      </c>
      <c r="AD170" s="814"/>
      <c r="AE170" s="814"/>
      <c r="AF170" s="814"/>
      <c r="AG170" s="814"/>
      <c r="AH170" s="814"/>
      <c r="AI170" s="814"/>
      <c r="AJ170" s="814"/>
      <c r="AK170" s="814"/>
      <c r="AL170" s="814"/>
      <c r="AM170" s="814"/>
      <c r="AN170" s="814"/>
      <c r="AO170" s="814"/>
      <c r="AR170" s="841"/>
      <c r="BD170" s="1" t="s">
        <v>1781</v>
      </c>
      <c r="BE170" s="1" t="s">
        <v>2235</v>
      </c>
      <c r="BM170" s="1" t="s">
        <v>2463</v>
      </c>
      <c r="BN170" s="1" t="s">
        <v>2463</v>
      </c>
      <c r="BS170" s="1" t="s">
        <v>593</v>
      </c>
      <c r="BT170" s="1" t="s">
        <v>516</v>
      </c>
      <c r="CA170" t="s">
        <v>2579</v>
      </c>
      <c r="CB170" t="s">
        <v>2481</v>
      </c>
    </row>
    <row r="171" spans="19:80" ht="16.350000000000001" customHeight="1" thickBot="1">
      <c r="S171" s="838">
        <f>Ram_1!AR167</f>
        <v>0</v>
      </c>
      <c r="W171" s="819" t="str">
        <f>'Translate&amp;Prices&amp;Logo'!$O$173</f>
        <v>Rodzaj szkła</v>
      </c>
      <c r="X171" s="819"/>
      <c r="Y171" s="819"/>
      <c r="Z171" s="819"/>
      <c r="AA171" s="819"/>
      <c r="AB171" s="366"/>
      <c r="AC171" s="814">
        <f>IFERROR(VLOOKUP(Ram_5!$H$25,kombinace_1!DT:DU,2,0),0)</f>
        <v>0</v>
      </c>
      <c r="AD171" s="814"/>
      <c r="AE171" s="814"/>
      <c r="AF171" s="814"/>
      <c r="AG171" s="814"/>
      <c r="AH171" s="814"/>
      <c r="AI171" s="814"/>
      <c r="AJ171" s="814"/>
      <c r="AK171" s="814"/>
      <c r="AL171" s="814"/>
      <c r="AM171" s="814"/>
      <c r="AN171" s="814"/>
      <c r="AO171" s="814"/>
      <c r="AR171" s="841"/>
      <c r="BM171" s="1" t="s">
        <v>597</v>
      </c>
      <c r="BN171" s="1" t="s">
        <v>519</v>
      </c>
      <c r="BS171" s="1" t="s">
        <v>594</v>
      </c>
      <c r="BT171" s="1" t="s">
        <v>517</v>
      </c>
    </row>
    <row r="172" spans="19:80" ht="16.350000000000001" customHeight="1">
      <c r="W172" s="819" t="str">
        <f>'Translate&amp;Prices&amp;Logo'!$O$549</f>
        <v>Rozstaw uchwytu (mm)</v>
      </c>
      <c r="X172" s="819"/>
      <c r="Y172" s="819"/>
      <c r="Z172" s="819"/>
      <c r="AA172" s="819"/>
      <c r="AB172" s="366"/>
      <c r="AC172" s="814">
        <f>Ram_5!$H$26</f>
        <v>0</v>
      </c>
      <c r="AD172" s="814"/>
      <c r="AE172" s="814"/>
      <c r="AF172" s="814"/>
      <c r="AG172" s="814"/>
      <c r="AH172" s="814"/>
      <c r="AI172" s="814"/>
      <c r="AJ172" s="814"/>
      <c r="AK172" s="814"/>
      <c r="AL172" s="814"/>
      <c r="AM172" s="814"/>
      <c r="AN172" s="814"/>
      <c r="AO172" s="814"/>
      <c r="AR172" s="841"/>
      <c r="BM172" s="1" t="s">
        <v>598</v>
      </c>
      <c r="BN172" s="1" t="s">
        <v>520</v>
      </c>
      <c r="BS172" s="1" t="s">
        <v>2528</v>
      </c>
      <c r="BT172" s="1" t="s">
        <v>2210</v>
      </c>
    </row>
    <row r="173" spans="19:80" ht="16.350000000000001" customHeight="1">
      <c r="W173" s="819" t="str">
        <f>'Translate&amp;Prices&amp;Logo'!$O$550</f>
        <v>Umieszczenie uchwytu</v>
      </c>
      <c r="X173" s="819"/>
      <c r="Y173" s="819"/>
      <c r="Z173" s="819"/>
      <c r="AA173" s="819"/>
      <c r="AB173" s="366"/>
      <c r="AC173" s="814">
        <f>IFERROR(VLOOKUP(Ram_5!$H$27,BS156:BT175,2,0),0)</f>
        <v>0</v>
      </c>
      <c r="AD173" s="814"/>
      <c r="AE173" s="814"/>
      <c r="AF173" s="814"/>
      <c r="AG173" s="814"/>
      <c r="AH173" s="814"/>
      <c r="AI173" s="814"/>
      <c r="AJ173" s="814"/>
      <c r="AK173" s="814"/>
      <c r="AL173" s="814"/>
      <c r="AM173" s="814"/>
      <c r="AN173" s="814"/>
      <c r="AO173" s="814"/>
      <c r="AR173" s="841"/>
      <c r="BM173" s="1" t="s">
        <v>599</v>
      </c>
      <c r="BN173" s="1" t="s">
        <v>521</v>
      </c>
      <c r="BS173" s="1" t="s">
        <v>1855</v>
      </c>
      <c r="BT173" s="1" t="s">
        <v>2462</v>
      </c>
    </row>
    <row r="174" spans="19:80" ht="16.350000000000001" customHeight="1">
      <c r="W174" s="819" t="str">
        <f>('Translate&amp;Prices&amp;Logo'!$O$174)&amp;" "&amp;"-"&amp;" "&amp;('Translate&amp;Prices&amp;Logo'!$O$169)&amp;" "&amp;" "&amp;1</f>
        <v>Ilość sztuk - Ramka  1</v>
      </c>
      <c r="X174" s="819"/>
      <c r="Y174" s="819"/>
      <c r="Z174" s="819"/>
      <c r="AA174" s="819"/>
      <c r="AB174" s="366"/>
      <c r="AC174" s="814">
        <f>Ram_5!$H$28</f>
        <v>0</v>
      </c>
      <c r="AD174" s="814"/>
      <c r="AE174" s="814"/>
      <c r="AF174" s="814"/>
      <c r="AG174" s="814"/>
      <c r="AH174" s="814"/>
      <c r="AI174" s="814"/>
      <c r="AJ174" s="814"/>
      <c r="AK174" s="814"/>
      <c r="AL174" s="814"/>
      <c r="AM174" s="814"/>
      <c r="AN174" s="814"/>
      <c r="AO174" s="814"/>
      <c r="AR174" s="841"/>
      <c r="BM174" s="1" t="s">
        <v>600</v>
      </c>
      <c r="BN174" s="1" t="s">
        <v>522</v>
      </c>
      <c r="BS174" s="1" t="s">
        <v>1814</v>
      </c>
      <c r="BT174" s="1" t="s">
        <v>516</v>
      </c>
    </row>
    <row r="175" spans="19:80" ht="16.350000000000001" customHeight="1">
      <c r="AE175" s="1"/>
      <c r="AF175" s="1"/>
      <c r="AR175" s="841"/>
      <c r="BM175" s="1" t="s">
        <v>2386</v>
      </c>
      <c r="BN175" s="1" t="s">
        <v>2463</v>
      </c>
      <c r="BS175" s="1" t="s">
        <v>1815</v>
      </c>
      <c r="BT175" s="1" t="s">
        <v>517</v>
      </c>
    </row>
    <row r="176" spans="19:80" ht="14.85" customHeight="1">
      <c r="AR176" s="841"/>
      <c r="BM176" s="1" t="s">
        <v>2529</v>
      </c>
      <c r="BN176" s="1" t="s">
        <v>519</v>
      </c>
    </row>
    <row r="177" spans="1:80" ht="14.85" customHeight="1">
      <c r="W177" s="822" t="s">
        <v>2828</v>
      </c>
      <c r="X177" s="822"/>
      <c r="Y177" s="822"/>
      <c r="Z177" s="822"/>
      <c r="AE177" s="822" t="s">
        <v>2829</v>
      </c>
      <c r="AF177" s="822"/>
      <c r="AG177" s="822"/>
      <c r="AH177" s="822"/>
      <c r="AR177" s="841"/>
      <c r="BM177" s="1" t="s">
        <v>2530</v>
      </c>
      <c r="BN177" s="1" t="s">
        <v>520</v>
      </c>
    </row>
    <row r="178" spans="1:80" ht="14.85" customHeight="1">
      <c r="AE178" s="823"/>
      <c r="AF178" s="824"/>
      <c r="AG178" s="824"/>
      <c r="AH178" s="824"/>
      <c r="AI178" s="824"/>
      <c r="AJ178" s="824"/>
      <c r="AK178" s="824"/>
      <c r="AL178" s="824"/>
      <c r="AM178" s="824"/>
      <c r="AN178" s="825"/>
      <c r="AR178" s="841"/>
      <c r="BM178" s="1" t="s">
        <v>2679</v>
      </c>
      <c r="BN178" s="1" t="s">
        <v>521</v>
      </c>
    </row>
    <row r="179" spans="1:80" ht="14.85" customHeight="1">
      <c r="AE179" s="826"/>
      <c r="AF179" s="827"/>
      <c r="AG179" s="827"/>
      <c r="AH179" s="827"/>
      <c r="AI179" s="827"/>
      <c r="AJ179" s="827"/>
      <c r="AK179" s="827"/>
      <c r="AL179" s="827"/>
      <c r="AM179" s="827"/>
      <c r="AN179" s="828"/>
      <c r="AR179" s="841"/>
      <c r="BM179" s="1" t="s">
        <v>2680</v>
      </c>
      <c r="BN179" s="1" t="s">
        <v>522</v>
      </c>
    </row>
    <row r="180" spans="1:80" ht="14.85" customHeight="1">
      <c r="AE180" s="826"/>
      <c r="AF180" s="827"/>
      <c r="AG180" s="827"/>
      <c r="AH180" s="827"/>
      <c r="AI180" s="827"/>
      <c r="AJ180" s="827"/>
      <c r="AK180" s="827"/>
      <c r="AL180" s="827"/>
      <c r="AM180" s="827"/>
      <c r="AN180" s="828"/>
      <c r="AR180" s="841"/>
      <c r="BM180" s="1" t="s">
        <v>2019</v>
      </c>
      <c r="BN180" s="1" t="s">
        <v>2463</v>
      </c>
    </row>
    <row r="181" spans="1:80" ht="14.85" customHeight="1">
      <c r="D181" s="821">
        <f>IF(OR(Ram_5!$AC$25="x",Ram_5!$AJ$26="x",Ram_5!$AC$9="x",Ram_5!$AJ$7="x",Ram_5!$AB$16="x",Ram_5!$AM$23="x",Ram_5!$AN$19="x",Ram_5!$AD$10="x"),'Translate&amp;Prices&amp;Logo'!$B$588,0)</f>
        <v>0</v>
      </c>
      <c r="E181" s="821"/>
      <c r="F181" s="821"/>
      <c r="G181" s="821"/>
      <c r="H181" s="821"/>
      <c r="I181" s="821"/>
      <c r="J181" s="821"/>
      <c r="K181" s="821"/>
      <c r="L181" s="821"/>
      <c r="M181" s="821"/>
      <c r="N181" s="821"/>
      <c r="O181" s="821"/>
      <c r="P181" s="821"/>
      <c r="AE181" s="826"/>
      <c r="AF181" s="827"/>
      <c r="AG181" s="827"/>
      <c r="AH181" s="827"/>
      <c r="AI181" s="827"/>
      <c r="AJ181" s="827"/>
      <c r="AK181" s="827"/>
      <c r="AL181" s="827"/>
      <c r="AM181" s="827"/>
      <c r="AN181" s="828"/>
      <c r="AR181" s="841"/>
    </row>
    <row r="182" spans="1:80" ht="14.85" customHeight="1">
      <c r="AE182" s="826"/>
      <c r="AF182" s="827"/>
      <c r="AG182" s="827"/>
      <c r="AH182" s="827"/>
      <c r="AI182" s="827"/>
      <c r="AJ182" s="827"/>
      <c r="AK182" s="827"/>
      <c r="AL182" s="827"/>
      <c r="AM182" s="827"/>
      <c r="AN182" s="828"/>
      <c r="AR182" s="841"/>
    </row>
    <row r="183" spans="1:80" ht="14.85" customHeight="1" thickBot="1">
      <c r="AE183" s="826"/>
      <c r="AF183" s="827"/>
      <c r="AG183" s="827"/>
      <c r="AH183" s="827"/>
      <c r="AI183" s="827"/>
      <c r="AJ183" s="827"/>
      <c r="AK183" s="827"/>
      <c r="AL183" s="827"/>
      <c r="AM183" s="827"/>
      <c r="AN183" s="828"/>
      <c r="AR183" s="841"/>
    </row>
    <row r="184" spans="1:80" ht="14.85" customHeight="1" thickBot="1">
      <c r="G184" s="832" t="str">
        <f>'Translate&amp;Prices&amp;Logo'!$O$175</f>
        <v>Szerokość</v>
      </c>
      <c r="H184" s="833">
        <f>Ram_1!AG174</f>
        <v>0</v>
      </c>
      <c r="I184" s="833">
        <f>Ram_1!AH174</f>
        <v>0</v>
      </c>
      <c r="J184" s="812">
        <f>Ram_5!AI30</f>
        <v>0</v>
      </c>
      <c r="K184" s="812">
        <f>Ram_1!AJ174</f>
        <v>0</v>
      </c>
      <c r="L184" s="813">
        <f>Ram_1!AK174</f>
        <v>0</v>
      </c>
      <c r="AE184" s="826"/>
      <c r="AF184" s="827"/>
      <c r="AG184" s="827"/>
      <c r="AH184" s="827"/>
      <c r="AI184" s="827"/>
      <c r="AJ184" s="827"/>
      <c r="AK184" s="827"/>
      <c r="AL184" s="827"/>
      <c r="AM184" s="827"/>
      <c r="AN184" s="828"/>
      <c r="AR184" s="841"/>
    </row>
    <row r="185" spans="1:80" ht="21" customHeight="1">
      <c r="AE185" s="829"/>
      <c r="AF185" s="830"/>
      <c r="AG185" s="830"/>
      <c r="AH185" s="830"/>
      <c r="AI185" s="830"/>
      <c r="AJ185" s="830"/>
      <c r="AK185" s="830"/>
      <c r="AL185" s="830"/>
      <c r="AM185" s="830"/>
      <c r="AN185" s="831"/>
      <c r="AR185" s="841"/>
    </row>
    <row r="186" spans="1:80" ht="14.85" customHeight="1">
      <c r="AR186" s="841"/>
    </row>
    <row r="187" spans="1:80" ht="14.85" customHeight="1">
      <c r="AR187" s="841"/>
    </row>
    <row r="188" spans="1:80" ht="14.85" customHeight="1" thickBot="1">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435"/>
      <c r="AF188" s="436"/>
      <c r="AG188" s="273"/>
      <c r="AH188" s="273"/>
      <c r="AI188" s="273"/>
      <c r="AJ188" s="273"/>
      <c r="AK188" s="273"/>
      <c r="AL188" s="273"/>
      <c r="AM188" s="273"/>
      <c r="AN188" s="273"/>
      <c r="AO188" s="273"/>
      <c r="AP188" s="273"/>
      <c r="AQ188" s="273"/>
      <c r="AR188" s="273"/>
    </row>
    <row r="189" spans="1:80" ht="35.1" customHeight="1" thickBot="1">
      <c r="J189" s="432"/>
      <c r="K189" s="432"/>
      <c r="L189" s="432"/>
      <c r="M189" s="432"/>
      <c r="N189" s="432"/>
      <c r="O189" s="432"/>
      <c r="P189" s="432"/>
      <c r="Q189" s="432"/>
      <c r="R189" s="432"/>
      <c r="S189" s="432"/>
      <c r="T189" s="432"/>
      <c r="U189" s="432"/>
      <c r="V189" s="432"/>
      <c r="W189" s="818" t="str">
        <f>'Translate&amp;Prices&amp;Logo'!$O$256</f>
        <v>Numer zamówienia</v>
      </c>
      <c r="X189" s="818"/>
      <c r="Y189" s="818"/>
      <c r="Z189" s="818"/>
      <c r="AA189" s="818"/>
      <c r="AB189" s="366"/>
      <c r="AC189" s="815"/>
      <c r="AD189" s="816"/>
      <c r="AE189" s="816"/>
      <c r="AF189" s="816"/>
      <c r="AG189" s="816"/>
      <c r="AH189" s="816"/>
      <c r="AI189" s="816"/>
      <c r="AJ189" s="816"/>
      <c r="AK189" s="816"/>
      <c r="AL189" s="816"/>
      <c r="AM189" s="816"/>
      <c r="AN189" s="816"/>
      <c r="AO189" s="817"/>
      <c r="AR189" s="841" t="s">
        <v>2835</v>
      </c>
    </row>
    <row r="190" spans="1:80" ht="16.350000000000001" customHeight="1">
      <c r="W190" s="819" t="str">
        <f>'Translate&amp;Prices&amp;Logo'!$O$542</f>
        <v>Połączenie 2 profili</v>
      </c>
      <c r="X190" s="819"/>
      <c r="Y190" s="819"/>
      <c r="Z190" s="819"/>
      <c r="AA190" s="819"/>
      <c r="AB190" s="366"/>
      <c r="AC190" s="842" t="str">
        <f>IF(kombinace_6!$H$1=TRUE,"Tak","Nie")</f>
        <v>Nie</v>
      </c>
      <c r="AD190" s="842"/>
      <c r="AE190" s="842"/>
      <c r="AF190" s="842"/>
      <c r="AG190" s="842"/>
      <c r="AH190" s="842"/>
      <c r="AI190" s="842"/>
      <c r="AJ190" s="842"/>
      <c r="AK190" s="842"/>
      <c r="AL190" s="842"/>
      <c r="AM190" s="842"/>
      <c r="AN190" s="842"/>
      <c r="AO190" s="842"/>
      <c r="AR190" s="841"/>
    </row>
    <row r="191" spans="1:80" ht="16.350000000000001" customHeight="1">
      <c r="W191" s="819" t="str">
        <f>'Translate&amp;Prices&amp;Logo'!$O$172</f>
        <v>Rodzaj profilu</v>
      </c>
      <c r="X191" s="819"/>
      <c r="Y191" s="819"/>
      <c r="Z191" s="819"/>
      <c r="AA191" s="819"/>
      <c r="AB191" s="366"/>
      <c r="AC191" s="814">
        <f>IFERROR(VLOOKUP(Ram_6!$H$8,kombinace_1!DW:DY,2,0),0)</f>
        <v>0</v>
      </c>
      <c r="AD191" s="814"/>
      <c r="AE191" s="814"/>
      <c r="AF191" s="814"/>
      <c r="AG191" s="814"/>
      <c r="AH191" s="814"/>
      <c r="AI191" s="814"/>
      <c r="AJ191" s="814"/>
      <c r="AK191" s="814"/>
      <c r="AL191" s="814"/>
      <c r="AM191" s="814"/>
      <c r="AN191" s="814"/>
      <c r="AO191" s="814"/>
      <c r="AR191" s="841"/>
    </row>
    <row r="192" spans="1:80" ht="16.350000000000001" customHeight="1">
      <c r="W192" s="819" t="str">
        <f>'Translate&amp;Prices&amp;Logo'!$O$543</f>
        <v>Szprosy</v>
      </c>
      <c r="X192" s="819"/>
      <c r="Y192" s="819"/>
      <c r="Z192" s="819"/>
      <c r="AA192" s="819"/>
      <c r="AB192" s="366"/>
      <c r="AC192" s="814" t="str">
        <f>IFERROR(VLOOKUP(Ram_6!$AU$10,AU192:AV195,2,0),0)</f>
        <v>Nie</v>
      </c>
      <c r="AD192" s="814"/>
      <c r="AE192" s="814"/>
      <c r="AF192" s="814"/>
      <c r="AG192" s="814"/>
      <c r="AH192" s="814"/>
      <c r="AI192" s="814"/>
      <c r="AJ192" s="814"/>
      <c r="AK192" s="814"/>
      <c r="AL192" s="814"/>
      <c r="AM192" s="814"/>
      <c r="AN192" s="814"/>
      <c r="AO192" s="814"/>
      <c r="AR192" s="841"/>
      <c r="AU192">
        <v>0</v>
      </c>
      <c r="AV192" t="str">
        <f>'Translate&amp;Prices&amp;Logo'!$O$557</f>
        <v>Nie</v>
      </c>
      <c r="AZ192">
        <v>2</v>
      </c>
      <c r="BA192" t="str">
        <f>'Translate&amp;Prices&amp;Logo'!$O$551</f>
        <v>Zawiasy</v>
      </c>
      <c r="BD192" s="1" t="s">
        <v>125</v>
      </c>
      <c r="BE192" s="1" t="s">
        <v>485</v>
      </c>
      <c r="BI192" s="1" t="s">
        <v>98</v>
      </c>
      <c r="BJ192" s="1" t="s">
        <v>479</v>
      </c>
      <c r="BM192" s="1" t="s">
        <v>245</v>
      </c>
      <c r="BN192" s="1" t="s">
        <v>519</v>
      </c>
      <c r="BS192" s="1" t="s">
        <v>251</v>
      </c>
      <c r="BT192" s="1" t="s">
        <v>2210</v>
      </c>
      <c r="BX192" s="1">
        <v>1</v>
      </c>
      <c r="BY192" s="1" t="str">
        <f>'Translate&amp;Prices&amp;Logo'!$O$100</f>
        <v>Bez modyfikacji</v>
      </c>
      <c r="CA192" t="s">
        <v>2007</v>
      </c>
      <c r="CB192" t="s">
        <v>2479</v>
      </c>
    </row>
    <row r="193" spans="19:80" ht="16.350000000000001" customHeight="1">
      <c r="W193" s="437"/>
      <c r="X193" s="437"/>
      <c r="Y193" s="437"/>
      <c r="Z193" s="437"/>
      <c r="AA193" s="437"/>
      <c r="AB193" s="438"/>
      <c r="AC193" s="843" t="str">
        <f>'Translate&amp;Prices&amp;Logo'!$O$558</f>
        <v>Poziomo</v>
      </c>
      <c r="AD193" s="843"/>
      <c r="AE193" s="843"/>
      <c r="AF193" s="843"/>
      <c r="AG193" s="843"/>
      <c r="AH193" s="843"/>
      <c r="AI193" s="843"/>
      <c r="AJ193" s="843" t="str">
        <f>'Translate&amp;Prices&amp;Logo'!$O$559</f>
        <v>Pionowo</v>
      </c>
      <c r="AK193" s="843"/>
      <c r="AL193" s="843"/>
      <c r="AM193" s="843"/>
      <c r="AN193" s="843"/>
      <c r="AO193" s="843"/>
      <c r="AR193" s="841"/>
      <c r="AU193">
        <v>1</v>
      </c>
      <c r="AV193" t="str">
        <f>'Translate&amp;Prices&amp;Logo'!$O$558</f>
        <v>Poziomo</v>
      </c>
      <c r="AZ193">
        <v>3</v>
      </c>
      <c r="BA193" t="str">
        <f>'Translate&amp;Prices&amp;Logo'!$O$552</f>
        <v>Podnośniki</v>
      </c>
      <c r="BD193" s="1" t="s">
        <v>126</v>
      </c>
      <c r="BE193" s="1" t="s">
        <v>486</v>
      </c>
      <c r="BI193" s="1" t="s">
        <v>97</v>
      </c>
      <c r="BJ193" s="1" t="s">
        <v>480</v>
      </c>
      <c r="BM193" s="1" t="s">
        <v>246</v>
      </c>
      <c r="BN193" s="1" t="s">
        <v>520</v>
      </c>
      <c r="BS193" s="1" t="s">
        <v>252</v>
      </c>
      <c r="BT193" s="1" t="s">
        <v>2462</v>
      </c>
      <c r="BX193" s="1">
        <v>2</v>
      </c>
      <c r="BY193" s="1" t="str">
        <f>'Translate&amp;Prices&amp;Logo'!$O$101</f>
        <v>Hartowane</v>
      </c>
      <c r="CA193" t="s">
        <v>2010</v>
      </c>
      <c r="CB193" t="s">
        <v>2480</v>
      </c>
    </row>
    <row r="194" spans="19:80" ht="16.350000000000001" customHeight="1">
      <c r="W194" s="819" t="str">
        <f>('Translate&amp;Prices&amp;Logo'!$O$543)&amp;" "&amp;"("&amp;'Translate&amp;Prices&amp;Logo'!$O$174&amp;")"</f>
        <v>Szprosy (Ilość sztuk)</v>
      </c>
      <c r="X194" s="819"/>
      <c r="Y194" s="819"/>
      <c r="Z194" s="819"/>
      <c r="AA194" s="819"/>
      <c r="AB194" s="366"/>
      <c r="AC194" s="814">
        <f>Ram_6!$H$11</f>
        <v>0</v>
      </c>
      <c r="AD194" s="814"/>
      <c r="AE194" s="814"/>
      <c r="AF194" s="814"/>
      <c r="AG194" s="814"/>
      <c r="AH194" s="814"/>
      <c r="AI194" s="814"/>
      <c r="AJ194" s="814">
        <f>Ram_6!$M$11</f>
        <v>0</v>
      </c>
      <c r="AK194" s="814"/>
      <c r="AL194" s="814"/>
      <c r="AM194" s="814"/>
      <c r="AN194" s="814"/>
      <c r="AO194" s="814"/>
      <c r="AR194" s="841"/>
      <c r="AU194">
        <v>2</v>
      </c>
      <c r="AV194" t="str">
        <f>'Translate&amp;Prices&amp;Logo'!$O$559</f>
        <v>Pionowo</v>
      </c>
      <c r="BD194" s="1" t="s">
        <v>127</v>
      </c>
      <c r="BE194" s="1" t="s">
        <v>2235</v>
      </c>
      <c r="BI194" s="1" t="s">
        <v>420</v>
      </c>
      <c r="BJ194" s="1" t="s">
        <v>479</v>
      </c>
      <c r="BM194" s="1" t="s">
        <v>248</v>
      </c>
      <c r="BN194" s="1" t="s">
        <v>521</v>
      </c>
      <c r="BS194" s="1" t="s">
        <v>242</v>
      </c>
      <c r="BT194" s="1" t="s">
        <v>516</v>
      </c>
      <c r="BX194" s="1">
        <v>3</v>
      </c>
      <c r="BY194" s="1" t="str">
        <f>'Translate&amp;Prices&amp;Logo'!$O$102</f>
        <v>Folia</v>
      </c>
      <c r="CA194" t="s">
        <v>2013</v>
      </c>
      <c r="CB194" t="s">
        <v>2481</v>
      </c>
    </row>
    <row r="195" spans="19:80" ht="16.350000000000001" customHeight="1">
      <c r="W195" s="819" t="str">
        <f>'Translate&amp;Prices&amp;Logo'!$O$258</f>
        <v>Typ okucia</v>
      </c>
      <c r="X195" s="819"/>
      <c r="Y195" s="819"/>
      <c r="Z195" s="819"/>
      <c r="AA195" s="819"/>
      <c r="AB195" s="366"/>
      <c r="AC195" s="814">
        <f>IFERROR(VLOOKUP(Ram_6!$AU$9,AZ192:BA193,2,0),0)</f>
        <v>0</v>
      </c>
      <c r="AD195" s="814"/>
      <c r="AE195" s="814"/>
      <c r="AF195" s="814"/>
      <c r="AG195" s="814"/>
      <c r="AH195" s="814"/>
      <c r="AI195" s="814"/>
      <c r="AJ195" s="814"/>
      <c r="AK195" s="814"/>
      <c r="AL195" s="814"/>
      <c r="AM195" s="814"/>
      <c r="AN195" s="814"/>
      <c r="AO195" s="814"/>
      <c r="AR195" s="841"/>
      <c r="AU195">
        <v>3</v>
      </c>
      <c r="AV195" t="str">
        <f>'Translate&amp;Prices&amp;Logo'!$O$560</f>
        <v>Poziomo i pionowo</v>
      </c>
      <c r="BD195" s="1" t="s">
        <v>125</v>
      </c>
      <c r="BE195" s="1" t="s">
        <v>485</v>
      </c>
      <c r="BI195" s="1" t="s">
        <v>421</v>
      </c>
      <c r="BJ195" s="1" t="s">
        <v>480</v>
      </c>
      <c r="BM195" s="1" t="s">
        <v>247</v>
      </c>
      <c r="BN195" s="1" t="s">
        <v>522</v>
      </c>
      <c r="BS195" s="1" t="s">
        <v>241</v>
      </c>
      <c r="BT195" s="1" t="s">
        <v>517</v>
      </c>
      <c r="CA195" t="s">
        <v>2318</v>
      </c>
      <c r="CB195" t="s">
        <v>2479</v>
      </c>
    </row>
    <row r="196" spans="19:80" ht="16.350000000000001" customHeight="1">
      <c r="W196" s="819" t="str">
        <f>'Translate&amp;Prices&amp;Logo'!$O$544</f>
        <v>Marka okucia</v>
      </c>
      <c r="X196" s="819"/>
      <c r="Y196" s="819"/>
      <c r="Z196" s="819"/>
      <c r="AA196" s="819"/>
      <c r="AB196" s="366"/>
      <c r="AC196" s="814">
        <f>Ram_6!$H$13</f>
        <v>0</v>
      </c>
      <c r="AD196" s="814"/>
      <c r="AE196" s="814"/>
      <c r="AF196" s="814"/>
      <c r="AG196" s="814"/>
      <c r="AH196" s="814"/>
      <c r="AI196" s="814"/>
      <c r="AJ196" s="814"/>
      <c r="AK196" s="814"/>
      <c r="AL196" s="814"/>
      <c r="AM196" s="814"/>
      <c r="AN196" s="814"/>
      <c r="AO196" s="814"/>
      <c r="AR196" s="841"/>
      <c r="BD196" s="1" t="s">
        <v>126</v>
      </c>
      <c r="BE196" s="1" t="s">
        <v>486</v>
      </c>
      <c r="BI196" s="1" t="s">
        <v>740</v>
      </c>
      <c r="BJ196" s="1" t="s">
        <v>479</v>
      </c>
      <c r="BM196" s="1" t="s">
        <v>249</v>
      </c>
      <c r="BN196" s="1" t="s">
        <v>2463</v>
      </c>
      <c r="BS196" s="1" t="s">
        <v>2212</v>
      </c>
      <c r="BT196" s="1" t="s">
        <v>2210</v>
      </c>
      <c r="CA196" t="s">
        <v>2319</v>
      </c>
      <c r="CB196" t="s">
        <v>2480</v>
      </c>
    </row>
    <row r="197" spans="19:80" ht="16.350000000000001" customHeight="1" thickBot="1">
      <c r="W197" s="819" t="str">
        <f>'Translate&amp;Prices&amp;Logo'!$O$546</f>
        <v>Nałożenie</v>
      </c>
      <c r="X197" s="819"/>
      <c r="Y197" s="819"/>
      <c r="Z197" s="819"/>
      <c r="AA197" s="819"/>
      <c r="AB197" s="366"/>
      <c r="AC197" s="814">
        <f>IFERROR(VLOOKUP(Ram_6!$H$14,BD192:BE206,2,0),0)</f>
        <v>0</v>
      </c>
      <c r="AD197" s="814"/>
      <c r="AE197" s="814"/>
      <c r="AF197" s="814"/>
      <c r="AG197" s="814"/>
      <c r="AH197" s="814"/>
      <c r="AI197" s="814"/>
      <c r="AJ197" s="814"/>
      <c r="AK197" s="814"/>
      <c r="AL197" s="814"/>
      <c r="AM197" s="814"/>
      <c r="AN197" s="814"/>
      <c r="AO197" s="814"/>
      <c r="AR197" s="841"/>
      <c r="BD197" s="1" t="s">
        <v>127</v>
      </c>
      <c r="BE197" s="1" t="s">
        <v>2235</v>
      </c>
      <c r="BI197" s="1" t="s">
        <v>556</v>
      </c>
      <c r="BJ197" s="1" t="s">
        <v>480</v>
      </c>
      <c r="BM197" s="1" t="s">
        <v>454</v>
      </c>
      <c r="BN197" s="1" t="s">
        <v>519</v>
      </c>
      <c r="BS197" s="1" t="s">
        <v>252</v>
      </c>
      <c r="BT197" s="1" t="s">
        <v>2462</v>
      </c>
      <c r="CA197" t="s">
        <v>2320</v>
      </c>
      <c r="CB197" t="s">
        <v>2481</v>
      </c>
    </row>
    <row r="198" spans="19:80" ht="16.350000000000001" customHeight="1">
      <c r="S198" s="839">
        <f>Ram_6!AR14</f>
        <v>0</v>
      </c>
      <c r="W198" s="819" t="str">
        <f>'Translate&amp;Prices&amp;Logo'!$O$545</f>
        <v>Wariant okucia</v>
      </c>
      <c r="X198" s="819"/>
      <c r="Y198" s="819"/>
      <c r="Z198" s="819"/>
      <c r="AA198" s="819"/>
      <c r="AB198" s="366"/>
      <c r="AC198" s="814">
        <f>IFERROR(VLOOKUP(Ram_6!$H$15,kombinace_1!$ED:$EE,2,0),Ram_6!$H$15)</f>
        <v>0</v>
      </c>
      <c r="AD198" s="814"/>
      <c r="AE198" s="814"/>
      <c r="AF198" s="814"/>
      <c r="AG198" s="814"/>
      <c r="AH198" s="814"/>
      <c r="AI198" s="814"/>
      <c r="AJ198" s="814"/>
      <c r="AK198" s="814"/>
      <c r="AL198" s="814"/>
      <c r="AM198" s="814"/>
      <c r="AN198" s="814"/>
      <c r="AO198" s="814"/>
      <c r="AR198" s="841"/>
      <c r="BD198" s="1" t="s">
        <v>485</v>
      </c>
      <c r="BE198" s="1" t="s">
        <v>485</v>
      </c>
      <c r="BI198" s="1" t="s">
        <v>2521</v>
      </c>
      <c r="BJ198" s="1" t="s">
        <v>479</v>
      </c>
      <c r="BM198" s="1" t="s">
        <v>455</v>
      </c>
      <c r="BN198" s="1" t="s">
        <v>520</v>
      </c>
      <c r="BS198" s="1" t="s">
        <v>450</v>
      </c>
      <c r="BT198" s="1" t="s">
        <v>516</v>
      </c>
      <c r="CA198" t="s">
        <v>2479</v>
      </c>
      <c r="CB198" t="s">
        <v>2479</v>
      </c>
    </row>
    <row r="199" spans="19:80" ht="16.350000000000001" customHeight="1">
      <c r="S199" s="840">
        <f>Ram_1!AR195</f>
        <v>0</v>
      </c>
      <c r="W199" s="819" t="str">
        <f>'Translate&amp;Prices&amp;Logo'!$O$218</f>
        <v>Wybierz pozycję ramki</v>
      </c>
      <c r="X199" s="819"/>
      <c r="Y199" s="819"/>
      <c r="Z199" s="819"/>
      <c r="AA199" s="819"/>
      <c r="AB199" s="814">
        <f>IFERROR(VLOOKUP(Ram_6!$F$16,BI192:BJ201,2,0),0)</f>
        <v>0</v>
      </c>
      <c r="AC199" s="814"/>
      <c r="AD199" s="814"/>
      <c r="AE199" s="814"/>
      <c r="AF199" s="814"/>
      <c r="AG199" s="819" t="str">
        <f>'Translate&amp;Prices&amp;Logo'!$O$232</f>
        <v>Rodzaj drugiej ramki</v>
      </c>
      <c r="AH199" s="819"/>
      <c r="AI199" s="819"/>
      <c r="AJ199" s="819"/>
      <c r="AK199" s="819"/>
      <c r="AL199" s="814">
        <f>IFERROR(VLOOKUP(Ram_6!$N$16,BM192:BN216,2,0),0)</f>
        <v>0</v>
      </c>
      <c r="AM199" s="814"/>
      <c r="AN199" s="814"/>
      <c r="AO199" s="814"/>
      <c r="AR199" s="841"/>
      <c r="BD199" s="1" t="s">
        <v>486</v>
      </c>
      <c r="BE199" s="1" t="s">
        <v>486</v>
      </c>
      <c r="BI199" s="1" t="s">
        <v>2522</v>
      </c>
      <c r="BJ199" s="1" t="s">
        <v>480</v>
      </c>
      <c r="BM199" s="1" t="s">
        <v>456</v>
      </c>
      <c r="BN199" s="1" t="s">
        <v>521</v>
      </c>
      <c r="BS199" s="1" t="s">
        <v>451</v>
      </c>
      <c r="BT199" s="1" t="s">
        <v>517</v>
      </c>
      <c r="CA199" t="s">
        <v>2480</v>
      </c>
      <c r="CB199" t="s">
        <v>2480</v>
      </c>
    </row>
    <row r="200" spans="19:80" ht="16.350000000000001" customHeight="1">
      <c r="S200" s="840">
        <f>Ram_1!AR196</f>
        <v>0</v>
      </c>
      <c r="W200" s="819" t="str">
        <f>'Translate&amp;Prices&amp;Logo'!$O$238</f>
        <v>Umieszczenie zawiasu</v>
      </c>
      <c r="X200" s="819"/>
      <c r="Y200" s="819"/>
      <c r="Z200" s="819"/>
      <c r="AA200" s="819"/>
      <c r="AB200" s="366"/>
      <c r="AC200" s="814">
        <f>IFERROR(VLOOKUP(Ram_6!$H$17,BS192:BT211,2,0),0)</f>
        <v>0</v>
      </c>
      <c r="AD200" s="814"/>
      <c r="AE200" s="814"/>
      <c r="AF200" s="814"/>
      <c r="AG200" s="814"/>
      <c r="AH200" s="814"/>
      <c r="AI200" s="814"/>
      <c r="AJ200" s="814"/>
      <c r="AK200" s="814"/>
      <c r="AL200" s="814"/>
      <c r="AM200" s="814"/>
      <c r="AN200" s="814"/>
      <c r="AO200" s="814"/>
      <c r="AR200" s="841"/>
      <c r="BD200" s="1" t="s">
        <v>2235</v>
      </c>
      <c r="BE200" s="1" t="s">
        <v>2235</v>
      </c>
      <c r="BI200" s="1" t="s">
        <v>479</v>
      </c>
      <c r="BJ200" s="1" t="s">
        <v>479</v>
      </c>
      <c r="BM200" s="1" t="s">
        <v>457</v>
      </c>
      <c r="BN200" s="1" t="s">
        <v>522</v>
      </c>
      <c r="BS200" s="1" t="s">
        <v>2210</v>
      </c>
      <c r="BT200" s="1" t="s">
        <v>2210</v>
      </c>
      <c r="CA200" t="s">
        <v>2481</v>
      </c>
      <c r="CB200" t="s">
        <v>2481</v>
      </c>
    </row>
    <row r="201" spans="19:80" ht="16.350000000000001" customHeight="1">
      <c r="S201" s="840">
        <f>Ram_1!AR197</f>
        <v>0</v>
      </c>
      <c r="W201" s="819" t="str">
        <f>'Translate&amp;Prices&amp;Logo'!$O$547</f>
        <v>Zawiasy do podnośników</v>
      </c>
      <c r="X201" s="819"/>
      <c r="Y201" s="819"/>
      <c r="Z201" s="819"/>
      <c r="AA201" s="819"/>
      <c r="AB201" s="366"/>
      <c r="AC201" s="814">
        <f>Ram_6!$H$18</f>
        <v>0</v>
      </c>
      <c r="AD201" s="814"/>
      <c r="AE201" s="814"/>
      <c r="AF201" s="814"/>
      <c r="AG201" s="814"/>
      <c r="AH201" s="814"/>
      <c r="AI201" s="814"/>
      <c r="AJ201" s="814"/>
      <c r="AK201" s="814"/>
      <c r="AL201" s="814"/>
      <c r="AM201" s="814"/>
      <c r="AN201" s="814"/>
      <c r="AO201" s="814"/>
      <c r="AR201" s="841"/>
      <c r="BD201" s="1" t="s">
        <v>561</v>
      </c>
      <c r="BE201" s="1" t="s">
        <v>485</v>
      </c>
      <c r="BI201" s="1" t="s">
        <v>480</v>
      </c>
      <c r="BJ201" s="1" t="s">
        <v>480</v>
      </c>
      <c r="BM201" s="1" t="s">
        <v>458</v>
      </c>
      <c r="BN201" s="1" t="s">
        <v>2463</v>
      </c>
      <c r="BS201" s="1" t="s">
        <v>2462</v>
      </c>
      <c r="BT201" s="1" t="s">
        <v>2462</v>
      </c>
      <c r="CA201" t="s">
        <v>2321</v>
      </c>
      <c r="CB201" t="s">
        <v>2479</v>
      </c>
    </row>
    <row r="202" spans="19:80" ht="16.350000000000001" customHeight="1">
      <c r="S202" s="840">
        <f>Ram_1!AR198</f>
        <v>0</v>
      </c>
      <c r="W202" s="819" t="str">
        <f>'Translate&amp;Prices&amp;Logo'!$O$223</f>
        <v>Ilość zawiasów na 1 ramkę</v>
      </c>
      <c r="X202" s="819"/>
      <c r="Y202" s="819"/>
      <c r="Z202" s="819"/>
      <c r="AA202" s="819"/>
      <c r="AB202" s="366"/>
      <c r="AC202" s="814">
        <f>Ram_6!$H$19</f>
        <v>0</v>
      </c>
      <c r="AD202" s="814"/>
      <c r="AE202" s="814"/>
      <c r="AF202" s="814"/>
      <c r="AG202" s="814"/>
      <c r="AH202" s="814"/>
      <c r="AI202" s="814"/>
      <c r="AJ202" s="814"/>
      <c r="AK202" s="814"/>
      <c r="AL202" s="814"/>
      <c r="AM202" s="814"/>
      <c r="AN202" s="814"/>
      <c r="AO202" s="814"/>
      <c r="AR202" s="841"/>
      <c r="BD202" s="1" t="s">
        <v>562</v>
      </c>
      <c r="BE202" s="1" t="s">
        <v>486</v>
      </c>
      <c r="BM202" s="1" t="s">
        <v>519</v>
      </c>
      <c r="BN202" s="1" t="s">
        <v>519</v>
      </c>
      <c r="BS202" s="1" t="s">
        <v>516</v>
      </c>
      <c r="BT202" s="1" t="s">
        <v>516</v>
      </c>
      <c r="CA202" t="s">
        <v>2427</v>
      </c>
      <c r="CB202" t="s">
        <v>2480</v>
      </c>
    </row>
    <row r="203" spans="19:80" ht="16.350000000000001" customHeight="1">
      <c r="S203" s="837" t="str">
        <f>'Translate&amp;Prices&amp;Logo'!$O$176</f>
        <v>Wysokość</v>
      </c>
      <c r="W203" s="819" t="e">
        <f>'Translate&amp;Prices&amp;Logo'!$O$242&amp;" "&amp;VLOOKUP(Ram_6!H17,kombinace_1!$BY$32:$CC$35,5,0)</f>
        <v>#N/A</v>
      </c>
      <c r="X203" s="819"/>
      <c r="Y203" s="819"/>
      <c r="Z203" s="819"/>
      <c r="AA203" s="819"/>
      <c r="AB203" s="814">
        <f>Ram_6!$F$20</f>
        <v>100</v>
      </c>
      <c r="AC203" s="814"/>
      <c r="AD203" s="814"/>
      <c r="AE203" s="814"/>
      <c r="AF203" s="814"/>
      <c r="AG203" s="819" t="e">
        <f>'Translate&amp;Prices&amp;Logo'!$O$242&amp;" "&amp;VLOOKUP(Ram_6!H17,kombinace_1!$BY$32:$CD$35,6,0)</f>
        <v>#N/A</v>
      </c>
      <c r="AH203" s="819"/>
      <c r="AI203" s="819"/>
      <c r="AJ203" s="819"/>
      <c r="AK203" s="819"/>
      <c r="AL203" s="814">
        <f>Ram_6!$N$20</f>
        <v>100</v>
      </c>
      <c r="AM203" s="814"/>
      <c r="AN203" s="814"/>
      <c r="AO203" s="814"/>
      <c r="AR203" s="841"/>
      <c r="BD203" s="1" t="s">
        <v>563</v>
      </c>
      <c r="BE203" s="1" t="s">
        <v>2235</v>
      </c>
      <c r="BM203" s="1" t="s">
        <v>520</v>
      </c>
      <c r="BN203" s="1" t="s">
        <v>520</v>
      </c>
      <c r="BS203" s="1" t="s">
        <v>517</v>
      </c>
      <c r="BT203" s="1" t="s">
        <v>517</v>
      </c>
      <c r="CA203" t="s">
        <v>2322</v>
      </c>
      <c r="CB203" t="s">
        <v>2481</v>
      </c>
    </row>
    <row r="204" spans="19:80" ht="16.350000000000001" customHeight="1">
      <c r="S204" s="837">
        <f>Ram_1!AR200</f>
        <v>0</v>
      </c>
      <c r="W204" s="437"/>
      <c r="X204" s="437"/>
      <c r="Y204" s="437"/>
      <c r="Z204" s="437"/>
      <c r="AA204" s="437"/>
      <c r="AB204" s="438"/>
      <c r="AC204" s="438"/>
      <c r="AD204" s="438"/>
      <c r="AE204" s="438"/>
      <c r="AF204" s="438"/>
      <c r="AG204" s="438"/>
      <c r="AH204" s="438"/>
      <c r="AI204" s="438"/>
      <c r="AJ204" s="438"/>
      <c r="AK204" s="438"/>
      <c r="AL204" s="438"/>
      <c r="AM204" s="438"/>
      <c r="AN204" s="438"/>
      <c r="AO204" s="438"/>
      <c r="AR204" s="841"/>
      <c r="BD204" s="1" t="s">
        <v>2800</v>
      </c>
      <c r="BE204" s="1" t="s">
        <v>485</v>
      </c>
      <c r="BM204" s="1" t="s">
        <v>521</v>
      </c>
      <c r="BN204" s="1" t="s">
        <v>521</v>
      </c>
      <c r="BS204" s="1" t="s">
        <v>2211</v>
      </c>
      <c r="BT204" s="1" t="s">
        <v>2210</v>
      </c>
      <c r="CA204" t="s">
        <v>2577</v>
      </c>
      <c r="CB204" t="s">
        <v>2479</v>
      </c>
    </row>
    <row r="205" spans="19:80" ht="16.350000000000001" customHeight="1">
      <c r="S205" s="837">
        <f>Ram_1!AR201</f>
        <v>0</v>
      </c>
      <c r="W205" s="819" t="str">
        <f>'Translate&amp;Prices&amp;Logo'!$O$173</f>
        <v>Rodzaj szkła</v>
      </c>
      <c r="X205" s="819"/>
      <c r="Y205" s="819"/>
      <c r="Z205" s="819"/>
      <c r="AA205" s="819"/>
      <c r="AB205" s="366"/>
      <c r="AC205" s="814" t="str">
        <f>IFERROR(VLOOKUP(kombinace_6!$V$1,BX192:BY194,2,0),0)</f>
        <v>Bez modyfikacji</v>
      </c>
      <c r="AD205" s="814"/>
      <c r="AE205" s="814"/>
      <c r="AF205" s="814"/>
      <c r="AG205" s="814"/>
      <c r="AH205" s="814"/>
      <c r="AI205" s="814"/>
      <c r="AJ205" s="814"/>
      <c r="AK205" s="814"/>
      <c r="AL205" s="814"/>
      <c r="AM205" s="814"/>
      <c r="AN205" s="814"/>
      <c r="AO205" s="814"/>
      <c r="AR205" s="841"/>
      <c r="BD205" s="1" t="s">
        <v>2651</v>
      </c>
      <c r="BE205" s="1" t="s">
        <v>486</v>
      </c>
      <c r="BM205" s="1" t="s">
        <v>522</v>
      </c>
      <c r="BN205" s="1" t="s">
        <v>522</v>
      </c>
      <c r="BS205" s="1" t="s">
        <v>2213</v>
      </c>
      <c r="BT205" s="1" t="s">
        <v>2462</v>
      </c>
      <c r="CA205" t="s">
        <v>2578</v>
      </c>
      <c r="CB205" t="s">
        <v>2480</v>
      </c>
    </row>
    <row r="206" spans="19:80" ht="16.350000000000001" customHeight="1">
      <c r="S206" s="837">
        <f>Ram_1!AR202</f>
        <v>0</v>
      </c>
      <c r="W206" s="819" t="str">
        <f>'Translate&amp;Prices&amp;Logo'!$O$562</f>
        <v>Rodzaj folii</v>
      </c>
      <c r="X206" s="819"/>
      <c r="Y206" s="819"/>
      <c r="Z206" s="819"/>
      <c r="AA206" s="819"/>
      <c r="AB206" s="366"/>
      <c r="AC206" s="814">
        <f>IFERROR(VLOOKUP(Ram_6!$H$24,CA192:CB206,2,0),0)</f>
        <v>0</v>
      </c>
      <c r="AD206" s="814"/>
      <c r="AE206" s="814"/>
      <c r="AF206" s="814"/>
      <c r="AG206" s="814"/>
      <c r="AH206" s="814"/>
      <c r="AI206" s="814"/>
      <c r="AJ206" s="814"/>
      <c r="AK206" s="814"/>
      <c r="AL206" s="814"/>
      <c r="AM206" s="814"/>
      <c r="AN206" s="814"/>
      <c r="AO206" s="814"/>
      <c r="AR206" s="841"/>
      <c r="BD206" s="1" t="s">
        <v>1781</v>
      </c>
      <c r="BE206" s="1" t="s">
        <v>2235</v>
      </c>
      <c r="BM206" s="1" t="s">
        <v>2463</v>
      </c>
      <c r="BN206" s="1" t="s">
        <v>2463</v>
      </c>
      <c r="BS206" s="1" t="s">
        <v>593</v>
      </c>
      <c r="BT206" s="1" t="s">
        <v>516</v>
      </c>
      <c r="CA206" t="s">
        <v>2579</v>
      </c>
      <c r="CB206" t="s">
        <v>2481</v>
      </c>
    </row>
    <row r="207" spans="19:80" ht="16.350000000000001" customHeight="1" thickBot="1">
      <c r="S207" s="838">
        <f>Ram_1!AR203</f>
        <v>0</v>
      </c>
      <c r="W207" s="819" t="str">
        <f>'Translate&amp;Prices&amp;Logo'!$O$173</f>
        <v>Rodzaj szkła</v>
      </c>
      <c r="X207" s="819"/>
      <c r="Y207" s="819"/>
      <c r="Z207" s="819"/>
      <c r="AA207" s="819"/>
      <c r="AB207" s="366"/>
      <c r="AC207" s="814">
        <f>IFERROR(VLOOKUP(Ram_6!$H$25,kombinace_1!DT:DU,2,0),0)</f>
        <v>0</v>
      </c>
      <c r="AD207" s="814"/>
      <c r="AE207" s="814"/>
      <c r="AF207" s="814"/>
      <c r="AG207" s="814"/>
      <c r="AH207" s="814"/>
      <c r="AI207" s="814"/>
      <c r="AJ207" s="814"/>
      <c r="AK207" s="814"/>
      <c r="AL207" s="814"/>
      <c r="AM207" s="814"/>
      <c r="AN207" s="814"/>
      <c r="AO207" s="814"/>
      <c r="AR207" s="841"/>
      <c r="BM207" s="1" t="s">
        <v>597</v>
      </c>
      <c r="BN207" s="1" t="s">
        <v>519</v>
      </c>
      <c r="BS207" s="1" t="s">
        <v>594</v>
      </c>
      <c r="BT207" s="1" t="s">
        <v>517</v>
      </c>
    </row>
    <row r="208" spans="19:80" ht="16.350000000000001" customHeight="1">
      <c r="W208" s="819" t="str">
        <f>'Translate&amp;Prices&amp;Logo'!$O$549</f>
        <v>Rozstaw uchwytu (mm)</v>
      </c>
      <c r="X208" s="819"/>
      <c r="Y208" s="819"/>
      <c r="Z208" s="819"/>
      <c r="AA208" s="819"/>
      <c r="AB208" s="366"/>
      <c r="AC208" s="814">
        <f>Ram_6!$H$26</f>
        <v>0</v>
      </c>
      <c r="AD208" s="814"/>
      <c r="AE208" s="814"/>
      <c r="AF208" s="814"/>
      <c r="AG208" s="814"/>
      <c r="AH208" s="814"/>
      <c r="AI208" s="814"/>
      <c r="AJ208" s="814"/>
      <c r="AK208" s="814"/>
      <c r="AL208" s="814"/>
      <c r="AM208" s="814"/>
      <c r="AN208" s="814"/>
      <c r="AO208" s="814"/>
      <c r="AR208" s="841"/>
      <c r="BM208" s="1" t="s">
        <v>598</v>
      </c>
      <c r="BN208" s="1" t="s">
        <v>520</v>
      </c>
      <c r="BS208" s="1" t="s">
        <v>2528</v>
      </c>
      <c r="BT208" s="1" t="s">
        <v>2210</v>
      </c>
    </row>
    <row r="209" spans="1:72" ht="16.350000000000001" customHeight="1">
      <c r="W209" s="819" t="str">
        <f>'Translate&amp;Prices&amp;Logo'!$O$550</f>
        <v>Umieszczenie uchwytu</v>
      </c>
      <c r="X209" s="819"/>
      <c r="Y209" s="819"/>
      <c r="Z209" s="819"/>
      <c r="AA209" s="819"/>
      <c r="AB209" s="366"/>
      <c r="AC209" s="814">
        <f>IFERROR(VLOOKUP(Ram_6!$H$27,BS192:BT211,2,0),0)</f>
        <v>0</v>
      </c>
      <c r="AD209" s="814"/>
      <c r="AE209" s="814"/>
      <c r="AF209" s="814"/>
      <c r="AG209" s="814"/>
      <c r="AH209" s="814"/>
      <c r="AI209" s="814"/>
      <c r="AJ209" s="814"/>
      <c r="AK209" s="814"/>
      <c r="AL209" s="814"/>
      <c r="AM209" s="814"/>
      <c r="AN209" s="814"/>
      <c r="AO209" s="814"/>
      <c r="AR209" s="841"/>
      <c r="BM209" s="1" t="s">
        <v>599</v>
      </c>
      <c r="BN209" s="1" t="s">
        <v>521</v>
      </c>
      <c r="BS209" s="1" t="s">
        <v>1855</v>
      </c>
      <c r="BT209" s="1" t="s">
        <v>2462</v>
      </c>
    </row>
    <row r="210" spans="1:72" ht="16.350000000000001" customHeight="1">
      <c r="W210" s="819" t="str">
        <f>('Translate&amp;Prices&amp;Logo'!$O$174)&amp;" "&amp;"-"&amp;" "&amp;('Translate&amp;Prices&amp;Logo'!$O$169)&amp;" "&amp;" "&amp;1</f>
        <v>Ilość sztuk - Ramka  1</v>
      </c>
      <c r="X210" s="819"/>
      <c r="Y210" s="819"/>
      <c r="Z210" s="819"/>
      <c r="AA210" s="819"/>
      <c r="AB210" s="366"/>
      <c r="AC210" s="814">
        <f>Ram_6!$H$28</f>
        <v>0</v>
      </c>
      <c r="AD210" s="814"/>
      <c r="AE210" s="814"/>
      <c r="AF210" s="814"/>
      <c r="AG210" s="814"/>
      <c r="AH210" s="814"/>
      <c r="AI210" s="814"/>
      <c r="AJ210" s="814"/>
      <c r="AK210" s="814"/>
      <c r="AL210" s="814"/>
      <c r="AM210" s="814"/>
      <c r="AN210" s="814"/>
      <c r="AO210" s="814"/>
      <c r="AR210" s="841"/>
      <c r="BM210" s="1" t="s">
        <v>600</v>
      </c>
      <c r="BN210" s="1" t="s">
        <v>522</v>
      </c>
      <c r="BS210" s="1" t="s">
        <v>1814</v>
      </c>
      <c r="BT210" s="1" t="s">
        <v>516</v>
      </c>
    </row>
    <row r="211" spans="1:72" ht="16.350000000000001" customHeight="1">
      <c r="AE211" s="1"/>
      <c r="AF211" s="1"/>
      <c r="AR211" s="841"/>
      <c r="BM211" s="1" t="s">
        <v>2386</v>
      </c>
      <c r="BN211" s="1" t="s">
        <v>2463</v>
      </c>
      <c r="BS211" s="1" t="s">
        <v>1815</v>
      </c>
      <c r="BT211" s="1" t="s">
        <v>517</v>
      </c>
    </row>
    <row r="212" spans="1:72" ht="14.85" customHeight="1">
      <c r="AR212" s="841"/>
      <c r="BM212" s="1" t="s">
        <v>2529</v>
      </c>
      <c r="BN212" s="1" t="s">
        <v>519</v>
      </c>
    </row>
    <row r="213" spans="1:72" ht="14.85" customHeight="1">
      <c r="W213" s="822" t="s">
        <v>2828</v>
      </c>
      <c r="X213" s="822"/>
      <c r="Y213" s="822"/>
      <c r="Z213" s="822"/>
      <c r="AE213" s="822" t="s">
        <v>2829</v>
      </c>
      <c r="AF213" s="822"/>
      <c r="AG213" s="822"/>
      <c r="AH213" s="822"/>
      <c r="AR213" s="841"/>
      <c r="BM213" s="1" t="s">
        <v>2530</v>
      </c>
      <c r="BN213" s="1" t="s">
        <v>520</v>
      </c>
    </row>
    <row r="214" spans="1:72" ht="14.85" customHeight="1">
      <c r="AE214" s="823"/>
      <c r="AF214" s="824"/>
      <c r="AG214" s="824"/>
      <c r="AH214" s="824"/>
      <c r="AI214" s="824"/>
      <c r="AJ214" s="824"/>
      <c r="AK214" s="824"/>
      <c r="AL214" s="824"/>
      <c r="AM214" s="824"/>
      <c r="AN214" s="825"/>
      <c r="AR214" s="841"/>
      <c r="BM214" s="1" t="s">
        <v>2679</v>
      </c>
      <c r="BN214" s="1" t="s">
        <v>521</v>
      </c>
    </row>
    <row r="215" spans="1:72" ht="14.85" customHeight="1">
      <c r="AE215" s="826"/>
      <c r="AF215" s="827"/>
      <c r="AG215" s="827"/>
      <c r="AH215" s="827"/>
      <c r="AI215" s="827"/>
      <c r="AJ215" s="827"/>
      <c r="AK215" s="827"/>
      <c r="AL215" s="827"/>
      <c r="AM215" s="827"/>
      <c r="AN215" s="828"/>
      <c r="AR215" s="841"/>
      <c r="BM215" s="1" t="s">
        <v>2680</v>
      </c>
      <c r="BN215" s="1" t="s">
        <v>522</v>
      </c>
    </row>
    <row r="216" spans="1:72" ht="14.85" customHeight="1">
      <c r="AE216" s="826"/>
      <c r="AF216" s="827"/>
      <c r="AG216" s="827"/>
      <c r="AH216" s="827"/>
      <c r="AI216" s="827"/>
      <c r="AJ216" s="827"/>
      <c r="AK216" s="827"/>
      <c r="AL216" s="827"/>
      <c r="AM216" s="827"/>
      <c r="AN216" s="828"/>
      <c r="AR216" s="841"/>
      <c r="BM216" s="1" t="s">
        <v>2019</v>
      </c>
      <c r="BN216" s="1" t="s">
        <v>2463</v>
      </c>
    </row>
    <row r="217" spans="1:72" ht="14.85" customHeight="1">
      <c r="D217" s="821">
        <f>IF(OR(Ram_6!$AC$25="x",Ram_6!$AJ$26="x",Ram_6!$AC$9="x",Ram_6!$AJ$7="x",Ram_6!$AB$16="x",Ram_6!$AM$23="x",Ram_6!$AN$19="x",Ram_6!$AD$10="x"),'Translate&amp;Prices&amp;Logo'!$B$588,0)</f>
        <v>0</v>
      </c>
      <c r="E217" s="821"/>
      <c r="F217" s="821"/>
      <c r="G217" s="821"/>
      <c r="H217" s="821"/>
      <c r="I217" s="821"/>
      <c r="J217" s="821"/>
      <c r="K217" s="821"/>
      <c r="L217" s="821"/>
      <c r="M217" s="821"/>
      <c r="N217" s="821"/>
      <c r="O217" s="821"/>
      <c r="P217" s="821"/>
      <c r="AE217" s="826"/>
      <c r="AF217" s="827"/>
      <c r="AG217" s="827"/>
      <c r="AH217" s="827"/>
      <c r="AI217" s="827"/>
      <c r="AJ217" s="827"/>
      <c r="AK217" s="827"/>
      <c r="AL217" s="827"/>
      <c r="AM217" s="827"/>
      <c r="AN217" s="828"/>
      <c r="AR217" s="841"/>
    </row>
    <row r="218" spans="1:72" ht="14.85" customHeight="1">
      <c r="AE218" s="826"/>
      <c r="AF218" s="827"/>
      <c r="AG218" s="827"/>
      <c r="AH218" s="827"/>
      <c r="AI218" s="827"/>
      <c r="AJ218" s="827"/>
      <c r="AK218" s="827"/>
      <c r="AL218" s="827"/>
      <c r="AM218" s="827"/>
      <c r="AN218" s="828"/>
      <c r="AR218" s="841"/>
    </row>
    <row r="219" spans="1:72" ht="14.85" customHeight="1" thickBot="1">
      <c r="AE219" s="826"/>
      <c r="AF219" s="827"/>
      <c r="AG219" s="827"/>
      <c r="AH219" s="827"/>
      <c r="AI219" s="827"/>
      <c r="AJ219" s="827"/>
      <c r="AK219" s="827"/>
      <c r="AL219" s="827"/>
      <c r="AM219" s="827"/>
      <c r="AN219" s="828"/>
      <c r="AR219" s="841"/>
    </row>
    <row r="220" spans="1:72" ht="14.85" customHeight="1" thickBot="1">
      <c r="G220" s="832" t="str">
        <f>'Translate&amp;Prices&amp;Logo'!$O$175</f>
        <v>Szerokość</v>
      </c>
      <c r="H220" s="833">
        <f>Ram_1!AG210</f>
        <v>0</v>
      </c>
      <c r="I220" s="833">
        <f>Ram_1!AH210</f>
        <v>0</v>
      </c>
      <c r="J220" s="812">
        <f>Ram_6!AI30</f>
        <v>0</v>
      </c>
      <c r="K220" s="812">
        <f>Ram_1!AJ210</f>
        <v>0</v>
      </c>
      <c r="L220" s="813">
        <f>Ram_1!AK210</f>
        <v>0</v>
      </c>
      <c r="AE220" s="826"/>
      <c r="AF220" s="827"/>
      <c r="AG220" s="827"/>
      <c r="AH220" s="827"/>
      <c r="AI220" s="827"/>
      <c r="AJ220" s="827"/>
      <c r="AK220" s="827"/>
      <c r="AL220" s="827"/>
      <c r="AM220" s="827"/>
      <c r="AN220" s="828"/>
      <c r="AR220" s="841"/>
    </row>
    <row r="221" spans="1:72" ht="21" customHeight="1">
      <c r="AE221" s="829"/>
      <c r="AF221" s="830"/>
      <c r="AG221" s="830"/>
      <c r="AH221" s="830"/>
      <c r="AI221" s="830"/>
      <c r="AJ221" s="830"/>
      <c r="AK221" s="830"/>
      <c r="AL221" s="830"/>
      <c r="AM221" s="830"/>
      <c r="AN221" s="831"/>
      <c r="AR221" s="841"/>
    </row>
    <row r="222" spans="1:72" ht="14.85" customHeight="1">
      <c r="AR222" s="841"/>
    </row>
    <row r="223" spans="1:72" ht="14.85" customHeight="1">
      <c r="AR223" s="841"/>
    </row>
    <row r="224" spans="1:72" ht="14.85" customHeight="1">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435"/>
      <c r="AF224" s="436"/>
      <c r="AG224" s="273"/>
      <c r="AH224" s="273"/>
      <c r="AI224" s="273"/>
      <c r="AJ224" s="273"/>
      <c r="AK224" s="273"/>
      <c r="AL224" s="273"/>
      <c r="AM224" s="273"/>
      <c r="AN224" s="273"/>
      <c r="AO224" s="273"/>
      <c r="AP224" s="273"/>
      <c r="AQ224" s="273"/>
      <c r="AR224" s="273"/>
    </row>
  </sheetData>
  <sheetProtection selectLockedCells="1"/>
  <mergeCells count="343">
    <mergeCell ref="W51:AA51"/>
    <mergeCell ref="AC45:AO45"/>
    <mergeCell ref="AC9:AO9"/>
    <mergeCell ref="W9:AA9"/>
    <mergeCell ref="W45:AA45"/>
    <mergeCell ref="W81:AA81"/>
    <mergeCell ref="AC18:AO18"/>
    <mergeCell ref="AC21:AO21"/>
    <mergeCell ref="AC22:AO22"/>
    <mergeCell ref="W18:AA18"/>
    <mergeCell ref="W19:AA19"/>
    <mergeCell ref="W20:AA20"/>
    <mergeCell ref="W21:AA21"/>
    <mergeCell ref="W33:Z33"/>
    <mergeCell ref="W50:AA50"/>
    <mergeCell ref="AC25:AO25"/>
    <mergeCell ref="AL19:AO19"/>
    <mergeCell ref="AB19:AF19"/>
    <mergeCell ref="AG19:AK19"/>
    <mergeCell ref="AG23:AK23"/>
    <mergeCell ref="AE34:AN41"/>
    <mergeCell ref="AE33:AH33"/>
    <mergeCell ref="AC26:AO26"/>
    <mergeCell ref="AC27:AO27"/>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5:AO15"/>
    <mergeCell ref="AC16:AO16"/>
    <mergeCell ref="W22:AA22"/>
    <mergeCell ref="AJ13:AO13"/>
    <mergeCell ref="AC14:AI14"/>
    <mergeCell ref="AJ14:AO14"/>
    <mergeCell ref="W14:AA14"/>
    <mergeCell ref="AR9:AR43"/>
    <mergeCell ref="AC13:AI13"/>
    <mergeCell ref="AC29:AO29"/>
    <mergeCell ref="AC30:AO30"/>
    <mergeCell ref="AL23:AO23"/>
    <mergeCell ref="AB23:AF23"/>
    <mergeCell ref="AC17:AO17"/>
    <mergeCell ref="AC28:AO28"/>
    <mergeCell ref="W24:AA24"/>
    <mergeCell ref="AC24:AO24"/>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65:AA65"/>
    <mergeCell ref="AC65:AO65"/>
    <mergeCell ref="S54:S58"/>
    <mergeCell ref="W54:AA54"/>
    <mergeCell ref="AC54:AO54"/>
    <mergeCell ref="W55:AA55"/>
    <mergeCell ref="AB55:AF55"/>
    <mergeCell ref="AG55:AK55"/>
    <mergeCell ref="AL55:AO55"/>
    <mergeCell ref="W56:AA56"/>
    <mergeCell ref="AC56:AO56"/>
    <mergeCell ref="W57:AA57"/>
    <mergeCell ref="AC62:AO62"/>
    <mergeCell ref="W63:AA63"/>
    <mergeCell ref="W66:AA66"/>
    <mergeCell ref="AC66:AO66"/>
    <mergeCell ref="S59:S63"/>
    <mergeCell ref="W59:AA59"/>
    <mergeCell ref="AB59:AF59"/>
    <mergeCell ref="AG59:AK59"/>
    <mergeCell ref="AL59:AO59"/>
    <mergeCell ref="W61:AA61"/>
    <mergeCell ref="AC61:AO61"/>
    <mergeCell ref="W62:AA62"/>
    <mergeCell ref="W93:AA93"/>
    <mergeCell ref="W69:Z69"/>
    <mergeCell ref="AE69:AH69"/>
    <mergeCell ref="AE70:AN77"/>
    <mergeCell ref="G76:I76"/>
    <mergeCell ref="J76:L76"/>
    <mergeCell ref="AC89:AO89"/>
    <mergeCell ref="W84:AA84"/>
    <mergeCell ref="AC84:AO84"/>
    <mergeCell ref="S90:S94"/>
    <mergeCell ref="AB91:AF91"/>
    <mergeCell ref="AG91:AK91"/>
    <mergeCell ref="AL91:AO91"/>
    <mergeCell ref="W92:AA92"/>
    <mergeCell ref="AC92:AO92"/>
    <mergeCell ref="AC93:AO93"/>
    <mergeCell ref="AC81:AO81"/>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AC90:AO90"/>
    <mergeCell ref="W91:AA91"/>
    <mergeCell ref="S95:S99"/>
    <mergeCell ref="W95:AA95"/>
    <mergeCell ref="AB95:AF95"/>
    <mergeCell ref="AG95:AK95"/>
    <mergeCell ref="AL95:AO95"/>
    <mergeCell ref="W97:AA97"/>
    <mergeCell ref="AC97:AO97"/>
    <mergeCell ref="W99:AA99"/>
    <mergeCell ref="AC99:AO99"/>
    <mergeCell ref="AC98:AO98"/>
    <mergeCell ref="AE106:AN113"/>
    <mergeCell ref="AJ122:AO122"/>
    <mergeCell ref="W123:AA123"/>
    <mergeCell ref="AC123:AO123"/>
    <mergeCell ref="AL127:AO127"/>
    <mergeCell ref="AB127:AF127"/>
    <mergeCell ref="AG127:AK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W171:AA171"/>
    <mergeCell ref="AC172:AO172"/>
    <mergeCell ref="AC171:AO171"/>
    <mergeCell ref="AL163:AO163"/>
    <mergeCell ref="W164:AA164"/>
    <mergeCell ref="AJ157:AO157"/>
    <mergeCell ref="AR117:AR151"/>
    <mergeCell ref="W118:AA118"/>
    <mergeCell ref="AC118:AO118"/>
    <mergeCell ref="W119:AA119"/>
    <mergeCell ref="AC119:AO119"/>
    <mergeCell ref="W120:AA120"/>
    <mergeCell ref="AC120:AO120"/>
    <mergeCell ref="W126:AA126"/>
    <mergeCell ref="AC126:AO126"/>
    <mergeCell ref="W127:AA127"/>
    <mergeCell ref="W128:AA128"/>
    <mergeCell ref="AC128:AO128"/>
    <mergeCell ref="W129:AA129"/>
    <mergeCell ref="AC129:AO129"/>
    <mergeCell ref="AE141:AH141"/>
    <mergeCell ref="AE142:AN149"/>
    <mergeCell ref="W136:AA136"/>
    <mergeCell ref="W122:AA122"/>
    <mergeCell ref="W141:Z141"/>
    <mergeCell ref="W159:AA159"/>
    <mergeCell ref="AC159:AO159"/>
    <mergeCell ref="S126:S130"/>
    <mergeCell ref="AB131:AF131"/>
    <mergeCell ref="AG131:AK131"/>
    <mergeCell ref="AL131:AO131"/>
    <mergeCell ref="W133:AA133"/>
    <mergeCell ref="AC133:AO133"/>
    <mergeCell ref="S131:S135"/>
    <mergeCell ref="W134:AA134"/>
    <mergeCell ref="AC134:AO134"/>
    <mergeCell ref="W135:AA135"/>
    <mergeCell ref="AC135:AO135"/>
    <mergeCell ref="W130:AA130"/>
    <mergeCell ref="AC130:AO130"/>
    <mergeCell ref="W131:AA131"/>
    <mergeCell ref="AC136:AO136"/>
    <mergeCell ref="W137:AA137"/>
    <mergeCell ref="AC137:AO137"/>
    <mergeCell ref="W138:AA138"/>
    <mergeCell ref="AC138:AO138"/>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S162:S166"/>
    <mergeCell ref="W162:AA162"/>
    <mergeCell ref="AC162:AO162"/>
    <mergeCell ref="W163:AA163"/>
    <mergeCell ref="AB163:AF163"/>
    <mergeCell ref="AB167:AF167"/>
    <mergeCell ref="AG167:AK167"/>
    <mergeCell ref="W166:AA166"/>
    <mergeCell ref="AC166:AO166"/>
    <mergeCell ref="AG163:AK163"/>
    <mergeCell ref="AC164:AO164"/>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G112:I112"/>
    <mergeCell ref="J112:L112"/>
    <mergeCell ref="G148:I148"/>
    <mergeCell ref="J148:L148"/>
    <mergeCell ref="S198:S202"/>
    <mergeCell ref="W198:AA198"/>
    <mergeCell ref="AC198:AO198"/>
    <mergeCell ref="W199:AA199"/>
    <mergeCell ref="AB199:AF199"/>
    <mergeCell ref="AG199:AK199"/>
    <mergeCell ref="AL199:AO199"/>
    <mergeCell ref="AC200:AO200"/>
    <mergeCell ref="W200:AA200"/>
    <mergeCell ref="AC192:AO192"/>
    <mergeCell ref="AC173:AO173"/>
    <mergeCell ref="AE178:AN185"/>
    <mergeCell ref="W172:AA172"/>
    <mergeCell ref="W177:Z177"/>
    <mergeCell ref="S167:S171"/>
    <mergeCell ref="W174:AA174"/>
    <mergeCell ref="AC174:AO174"/>
    <mergeCell ref="W169:AA169"/>
    <mergeCell ref="AC169:AO169"/>
    <mergeCell ref="W173:AA173"/>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J220:L220"/>
    <mergeCell ref="AC207:AO207"/>
    <mergeCell ref="AC189:AO189"/>
    <mergeCell ref="W189:AA189"/>
    <mergeCell ref="W210:AA210"/>
    <mergeCell ref="AC210:AO210"/>
    <mergeCell ref="AC208:AO208"/>
    <mergeCell ref="W209:AA209"/>
    <mergeCell ref="AC209:AO209"/>
    <mergeCell ref="AC202:AO202"/>
    <mergeCell ref="AJ194:AO194"/>
  </mergeCells>
  <conditionalFormatting sqref="D37:P37">
    <cfRule type="cellIs" dxfId="76" priority="42" operator="equal">
      <formula>0</formula>
    </cfRule>
  </conditionalFormatting>
  <conditionalFormatting sqref="D73:P73">
    <cfRule type="cellIs" dxfId="75" priority="40" operator="equal">
      <formula>0</formula>
    </cfRule>
  </conditionalFormatting>
  <conditionalFormatting sqref="D109:P109">
    <cfRule type="cellIs" dxfId="74" priority="39" operator="equal">
      <formula>0</formula>
    </cfRule>
  </conditionalFormatting>
  <conditionalFormatting sqref="D145:P145">
    <cfRule type="cellIs" dxfId="73" priority="38" operator="equal">
      <formula>0</formula>
    </cfRule>
  </conditionalFormatting>
  <conditionalFormatting sqref="D181:P181">
    <cfRule type="cellIs" dxfId="72" priority="37" operator="equal">
      <formula>0</formula>
    </cfRule>
  </conditionalFormatting>
  <conditionalFormatting sqref="D217:P217">
    <cfRule type="cellIs" dxfId="71" priority="36" operator="equal">
      <formula>0</formula>
    </cfRule>
  </conditionalFormatting>
  <conditionalFormatting sqref="W9:AB9 W10:AO11 W15:AO19 W20:AB20 W21:AO23 W24 AB24:AC24 W25:AO30">
    <cfRule type="cellIs" dxfId="70" priority="35" operator="equal">
      <formula>0</formula>
    </cfRule>
  </conditionalFormatting>
  <conditionalFormatting sqref="W20:AB20">
    <cfRule type="expression" dxfId="69" priority="158">
      <formula>$AC$20=0</formula>
    </cfRule>
  </conditionalFormatting>
  <conditionalFormatting sqref="W45:AB45 W46:AO47 W51:AO66">
    <cfRule type="cellIs" dxfId="68" priority="34" operator="equal">
      <formula>0</formula>
    </cfRule>
  </conditionalFormatting>
  <conditionalFormatting sqref="W81:AB81 W82:AO83 W87:AO102">
    <cfRule type="cellIs" dxfId="67" priority="33" operator="equal">
      <formula>0</formula>
    </cfRule>
  </conditionalFormatting>
  <conditionalFormatting sqref="W117:AB117 W118:AO119 W123:AO138">
    <cfRule type="cellIs" dxfId="66" priority="32" operator="equal">
      <formula>0</formula>
    </cfRule>
  </conditionalFormatting>
  <conditionalFormatting sqref="W153:AB153 W154:AO155 W159:AO174">
    <cfRule type="cellIs" dxfId="65" priority="31" operator="equal">
      <formula>0</formula>
    </cfRule>
  </conditionalFormatting>
  <conditionalFormatting sqref="W189:AB189 W190:AO191 W195:AO210">
    <cfRule type="cellIs" dxfId="64" priority="30" operator="equal">
      <formula>0</formula>
    </cfRule>
  </conditionalFormatting>
  <conditionalFormatting sqref="W19:AO19">
    <cfRule type="expression" dxfId="63" priority="159">
      <formula>$AB$19=0</formula>
    </cfRule>
  </conditionalFormatting>
  <conditionalFormatting sqref="W21:AO21">
    <cfRule type="expression" dxfId="62" priority="157">
      <formula>$AC$21=0</formula>
    </cfRule>
  </conditionalFormatting>
  <conditionalFormatting sqref="W22:AO23">
    <cfRule type="expression" dxfId="61" priority="156">
      <formula>$AC$22=0</formula>
    </cfRule>
  </conditionalFormatting>
  <conditionalFormatting sqref="W26:AO26">
    <cfRule type="expression" dxfId="60" priority="155">
      <formula>$AC$26=0</formula>
    </cfRule>
  </conditionalFormatting>
  <conditionalFormatting sqref="W55:AO55">
    <cfRule type="expression" dxfId="59" priority="79">
      <formula>$AB$19=0</formula>
    </cfRule>
  </conditionalFormatting>
  <conditionalFormatting sqref="W56:AO56">
    <cfRule type="expression" dxfId="58" priority="78">
      <formula>$AC$20=0</formula>
    </cfRule>
  </conditionalFormatting>
  <conditionalFormatting sqref="W57:AO57">
    <cfRule type="expression" dxfId="57" priority="77">
      <formula>$AC$21=0</formula>
    </cfRule>
  </conditionalFormatting>
  <conditionalFormatting sqref="W58:AO59">
    <cfRule type="expression" dxfId="56" priority="76">
      <formula>$AC$22=0</formula>
    </cfRule>
  </conditionalFormatting>
  <conditionalFormatting sqref="W62:AO62">
    <cfRule type="expression" dxfId="55" priority="75">
      <formula>$AC$26=0</formula>
    </cfRule>
  </conditionalFormatting>
  <conditionalFormatting sqref="W91:AO91">
    <cfRule type="expression" dxfId="54" priority="71">
      <formula>$AB$19=0</formula>
    </cfRule>
  </conditionalFormatting>
  <conditionalFormatting sqref="W92:AO92">
    <cfRule type="expression" dxfId="53" priority="70">
      <formula>$AC$20=0</formula>
    </cfRule>
  </conditionalFormatting>
  <conditionalFormatting sqref="W93:AO93">
    <cfRule type="expression" dxfId="52" priority="69">
      <formula>$AC$21=0</formula>
    </cfRule>
  </conditionalFormatting>
  <conditionalFormatting sqref="W94:AO95">
    <cfRule type="expression" dxfId="51" priority="68">
      <formula>$AC$22=0</formula>
    </cfRule>
  </conditionalFormatting>
  <conditionalFormatting sqref="W98:AO98">
    <cfRule type="expression" dxfId="50" priority="67">
      <formula>$AC$26=0</formula>
    </cfRule>
  </conditionalFormatting>
  <conditionalFormatting sqref="W127:AO127">
    <cfRule type="expression" dxfId="49" priority="63">
      <formula>$AB$19=0</formula>
    </cfRule>
  </conditionalFormatting>
  <conditionalFormatting sqref="W128:AO128">
    <cfRule type="expression" dxfId="48" priority="62">
      <formula>$AC$20=0</formula>
    </cfRule>
  </conditionalFormatting>
  <conditionalFormatting sqref="W129:AO129">
    <cfRule type="expression" dxfId="47" priority="61">
      <formula>$AC$21=0</formula>
    </cfRule>
  </conditionalFormatting>
  <conditionalFormatting sqref="W130:AO131">
    <cfRule type="expression" dxfId="46" priority="60">
      <formula>$AC$22=0</formula>
    </cfRule>
  </conditionalFormatting>
  <conditionalFormatting sqref="W134:AO134">
    <cfRule type="expression" dxfId="45" priority="59">
      <formula>$AC$26=0</formula>
    </cfRule>
  </conditionalFormatting>
  <conditionalFormatting sqref="W163:AO163">
    <cfRule type="expression" dxfId="44" priority="55">
      <formula>$AB$19=0</formula>
    </cfRule>
  </conditionalFormatting>
  <conditionalFormatting sqref="W164:AO164">
    <cfRule type="expression" dxfId="43" priority="54">
      <formula>$AC$20=0</formula>
    </cfRule>
  </conditionalFormatting>
  <conditionalFormatting sqref="W165:AO165">
    <cfRule type="expression" dxfId="42" priority="53">
      <formula>$AC$21=0</formula>
    </cfRule>
  </conditionalFormatting>
  <conditionalFormatting sqref="W166:AO167">
    <cfRule type="expression" dxfId="41" priority="52">
      <formula>$AC$22=0</formula>
    </cfRule>
  </conditionalFormatting>
  <conditionalFormatting sqref="W170:AO170">
    <cfRule type="expression" dxfId="40" priority="51">
      <formula>$AC$26=0</formula>
    </cfRule>
  </conditionalFormatting>
  <conditionalFormatting sqref="W199:AO199">
    <cfRule type="expression" dxfId="39" priority="47">
      <formula>$AB$19=0</formula>
    </cfRule>
  </conditionalFormatting>
  <conditionalFormatting sqref="W200:AO200">
    <cfRule type="expression" dxfId="38" priority="46">
      <formula>$AC$20=0</formula>
    </cfRule>
  </conditionalFormatting>
  <conditionalFormatting sqref="W201:AO201">
    <cfRule type="expression" dxfId="37" priority="45">
      <formula>$AC$21=0</formula>
    </cfRule>
  </conditionalFormatting>
  <conditionalFormatting sqref="W202:AO203">
    <cfRule type="expression" dxfId="36" priority="44">
      <formula>$AC$22=0</formula>
    </cfRule>
  </conditionalFormatting>
  <conditionalFormatting sqref="W206:AO206">
    <cfRule type="expression" dxfId="35" priority="43">
      <formula>$AC$26=0</formula>
    </cfRule>
  </conditionalFormatting>
  <conditionalFormatting sqref="X4">
    <cfRule type="expression" dxfId="34" priority="19">
      <formula>$AJ$4=TRUE</formula>
    </cfRule>
  </conditionalFormatting>
  <conditionalFormatting sqref="AC13">
    <cfRule type="expression" dxfId="33" priority="18" stopIfTrue="1">
      <formula>$AC$14=0</formula>
    </cfRule>
  </conditionalFormatting>
  <conditionalFormatting sqref="AC49:AI50">
    <cfRule type="expression" dxfId="32" priority="16" stopIfTrue="1">
      <formula>$AC$50=0</formula>
    </cfRule>
  </conditionalFormatting>
  <conditionalFormatting sqref="AC85:AI86">
    <cfRule type="expression" dxfId="31" priority="14" stopIfTrue="1">
      <formula>$AC$86=0</formula>
    </cfRule>
  </conditionalFormatting>
  <conditionalFormatting sqref="AC121:AI122">
    <cfRule type="expression" dxfId="30" priority="12" stopIfTrue="1">
      <formula>$AC$122=0</formula>
    </cfRule>
  </conditionalFormatting>
  <conditionalFormatting sqref="AC157:AI158">
    <cfRule type="expression" dxfId="29" priority="10" stopIfTrue="1">
      <formula>$AC$158=0</formula>
    </cfRule>
  </conditionalFormatting>
  <conditionalFormatting sqref="AC193:AI194">
    <cfRule type="expression" dxfId="28" priority="8" stopIfTrue="1">
      <formula>$AC$194=0</formula>
    </cfRule>
  </conditionalFormatting>
  <conditionalFormatting sqref="AC17:AO17">
    <cfRule type="expression" dxfId="27" priority="160">
      <formula>$AC$17=0</formula>
    </cfRule>
  </conditionalFormatting>
  <conditionalFormatting sqref="AC53:AO53">
    <cfRule type="expression" dxfId="26" priority="80">
      <formula>$AC$17=0</formula>
    </cfRule>
  </conditionalFormatting>
  <conditionalFormatting sqref="AC89:AO89">
    <cfRule type="expression" dxfId="25" priority="72">
      <formula>$AC$17=0</formula>
    </cfRule>
  </conditionalFormatting>
  <conditionalFormatting sqref="AC125:AO125">
    <cfRule type="expression" dxfId="24" priority="64">
      <formula>$AC$17=0</formula>
    </cfRule>
  </conditionalFormatting>
  <conditionalFormatting sqref="AC161:AO161">
    <cfRule type="expression" dxfId="23" priority="56">
      <formula>$AC$17=0</formula>
    </cfRule>
  </conditionalFormatting>
  <conditionalFormatting sqref="AC197:AO197">
    <cfRule type="expression" dxfId="22" priority="48">
      <formula>$AC$17=0</formula>
    </cfRule>
  </conditionalFormatting>
  <conditionalFormatting sqref="AI5:AJ5 Q5:W7 AD6:AJ7">
    <cfRule type="cellIs" dxfId="21" priority="211" operator="equal">
      <formula>0</formula>
    </cfRule>
  </conditionalFormatting>
  <conditionalFormatting sqref="AJ13:AO14">
    <cfRule type="expression" dxfId="20" priority="17" stopIfTrue="1">
      <formula>$AJ$14=0</formula>
    </cfRule>
  </conditionalFormatting>
  <conditionalFormatting sqref="AJ49:AO50">
    <cfRule type="expression" dxfId="19" priority="15" stopIfTrue="1">
      <formula>$AJ$50=0</formula>
    </cfRule>
  </conditionalFormatting>
  <conditionalFormatting sqref="AJ85:AO86">
    <cfRule type="expression" dxfId="18" priority="13" stopIfTrue="1">
      <formula>$AJ$86=0</formula>
    </cfRule>
  </conditionalFormatting>
  <conditionalFormatting sqref="AJ121:AO122">
    <cfRule type="expression" dxfId="17" priority="11" stopIfTrue="1">
      <formula>$AJ$122=0</formula>
    </cfRule>
  </conditionalFormatting>
  <conditionalFormatting sqref="AJ157:AO158">
    <cfRule type="expression" dxfId="16" priority="9" stopIfTrue="1">
      <formula>$AJ$158=0</formula>
    </cfRule>
  </conditionalFormatting>
  <conditionalFormatting sqref="AJ193:AO194">
    <cfRule type="expression" dxfId="15" priority="7" stopIfTrue="1">
      <formula>$AJ$194=0</formula>
    </cfRule>
  </conditionalFormatting>
  <conditionalFormatting sqref="BS32:BT35">
    <cfRule type="expression" dxfId="14" priority="5" stopIfTrue="1">
      <formula>AND(COUNTIF($M$582:$M$587, BS32)+COUNTIF($M$593:$M$624, BS32)+COUNTIF($M$627:$M$627, BS32)+COUNTIF($M$642:$M$644, BS32)&gt;1,NOT(ISBLANK(BS32)))</formula>
    </cfRule>
  </conditionalFormatting>
  <conditionalFormatting sqref="BS68:BT71">
    <cfRule type="expression" dxfId="13" priority="2" stopIfTrue="1">
      <formula>AND(COUNTIF($M$582:$M$587, BS68)+COUNTIF($M$593:$M$624, BS68)+COUNTIF($M$627:$M$627, BS68)+COUNTIF($M$642:$M$644, BS68)&gt;1,NOT(ISBLANK(BS68)))</formula>
    </cfRule>
  </conditionalFormatting>
  <conditionalFormatting sqref="BS104:BT107">
    <cfRule type="expression" dxfId="12" priority="1" stopIfTrue="1">
      <formula>AND(COUNTIF($M$582:$M$587, BS104)+COUNTIF($M$593:$M$624, BS104)+COUNTIF($M$627:$M$627, BS104)+COUNTIF($M$642:$M$644, BS104)&gt;1,NOT(ISBLANK(BS104)))</formula>
    </cfRule>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86431" r:id="rId4" name="Check Box 2079">
              <controlPr defaultSize="0" autoFill="0" autoLine="0" autoPict="0">
                <anchor moveWithCells="1">
                  <from>
                    <xdr:col>42</xdr:col>
                    <xdr:colOff>57150</xdr:colOff>
                    <xdr:row>3</xdr:row>
                    <xdr:rowOff>66675</xdr:rowOff>
                  </from>
                  <to>
                    <xdr:col>42</xdr:col>
                    <xdr:colOff>581025</xdr:colOff>
                    <xdr:row>5</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2ACC-CB5B-4D28-9FDC-4B5CD3FC3117}">
  <sheetPr codeName="List10">
    <pageSetUpPr fitToPage="1"/>
  </sheetPr>
  <dimension ref="B1:BN79"/>
  <sheetViews>
    <sheetView workbookViewId="0"/>
  </sheetViews>
  <sheetFormatPr defaultColWidth="9.140625" defaultRowHeight="15"/>
  <cols>
    <col min="1" max="1" width="1.140625" style="1" customWidth="1"/>
    <col min="2" max="2" width="3.140625" style="1" customWidth="1"/>
    <col min="3" max="3" width="5.5703125" style="1" customWidth="1"/>
    <col min="4" max="4" width="10.42578125" style="1" customWidth="1"/>
    <col min="5" max="5" width="8.140625" style="1" customWidth="1"/>
    <col min="6" max="6" width="10.42578125" style="1" customWidth="1"/>
    <col min="7" max="7" width="21.42578125" style="1" customWidth="1"/>
    <col min="8" max="8" width="17" style="1" customWidth="1"/>
    <col min="9" max="9" width="21.42578125" style="1" customWidth="1"/>
    <col min="10" max="10" width="12.42578125" style="1" customWidth="1"/>
    <col min="11" max="11" width="26" style="1" customWidth="1"/>
    <col min="12" max="12" width="32.5703125" style="1" customWidth="1"/>
    <col min="13" max="16" width="18.42578125" style="1" hidden="1" customWidth="1"/>
    <col min="17" max="18" width="13.5703125" style="1" hidden="1" customWidth="1"/>
    <col min="19" max="19" width="16.42578125" style="1" hidden="1" customWidth="1"/>
    <col min="20" max="20" width="17.42578125" style="1" hidden="1" customWidth="1"/>
    <col min="21" max="22" width="26.42578125" style="1" hidden="1" customWidth="1"/>
    <col min="23" max="23" width="33.42578125" style="1" hidden="1" customWidth="1"/>
    <col min="24" max="24" width="18.42578125" style="1" hidden="1" customWidth="1"/>
    <col min="25" max="27" width="26.42578125" style="1" hidden="1" customWidth="1"/>
    <col min="28" max="28" width="31.42578125" style="1" hidden="1" customWidth="1"/>
    <col min="29" max="29" width="17" style="1" hidden="1" customWidth="1"/>
    <col min="30" max="66" width="9.140625" style="1" hidden="1" customWidth="1"/>
    <col min="67" max="187" width="9.140625" style="1" customWidth="1"/>
    <col min="188" max="16384" width="9.140625" style="1"/>
  </cols>
  <sheetData>
    <row r="1" spans="2:29" ht="4.5" customHeight="1"/>
    <row r="2" spans="2:29" ht="13.5" customHeight="1">
      <c r="B2" s="849" t="str">
        <f>Ceny_n!$B$204</f>
        <v>Ceny jsou platné od 1.02.2020/Verze 20.01</v>
      </c>
      <c r="C2" s="850"/>
      <c r="D2" s="850"/>
      <c r="E2" s="850"/>
      <c r="F2" s="850"/>
      <c r="G2" s="850"/>
      <c r="H2" s="850"/>
      <c r="I2" s="850"/>
      <c r="J2" s="850"/>
      <c r="K2" s="850"/>
      <c r="L2" s="851"/>
      <c r="M2" s="145"/>
      <c r="N2" s="145"/>
      <c r="O2" s="145"/>
      <c r="P2" s="145"/>
      <c r="Q2" s="145"/>
      <c r="R2" s="145"/>
      <c r="S2" s="145"/>
      <c r="T2" s="145"/>
      <c r="U2" s="145"/>
      <c r="V2" s="145"/>
      <c r="W2" s="145"/>
      <c r="X2" s="145"/>
      <c r="Y2" s="145"/>
      <c r="Z2" s="145"/>
      <c r="AA2" s="145"/>
      <c r="AB2" s="145"/>
      <c r="AC2" s="145"/>
    </row>
    <row r="3" spans="2:29" ht="68.25" customHeight="1">
      <c r="B3" s="863" t="str">
        <f>Ceny_n!$B$228</f>
        <v>Posuvné rámečky</v>
      </c>
      <c r="C3" s="864"/>
      <c r="D3" s="864"/>
      <c r="E3" s="864"/>
      <c r="F3" s="864"/>
      <c r="G3" s="864"/>
      <c r="H3" s="148"/>
      <c r="I3" s="148"/>
      <c r="J3" s="149"/>
      <c r="K3" s="150"/>
      <c r="L3" s="151"/>
    </row>
    <row r="4" spans="2:29" ht="16.5" customHeight="1">
      <c r="B4" s="540"/>
      <c r="C4" s="541"/>
      <c r="D4" s="541"/>
      <c r="E4" s="541"/>
      <c r="F4" s="275"/>
      <c r="G4" s="275"/>
      <c r="H4" s="275"/>
      <c r="I4" s="275"/>
      <c r="J4" s="275"/>
      <c r="K4" s="275"/>
      <c r="L4" s="276"/>
    </row>
    <row r="5" spans="2:29" ht="15.75">
      <c r="B5" s="852" t="str">
        <f>Ceny_n!$B$287</f>
        <v xml:space="preserve">Cena za posuvné rámečky je shodná jako cena za běžné rámečky. </v>
      </c>
      <c r="C5" s="853"/>
      <c r="D5" s="853"/>
      <c r="E5" s="853"/>
      <c r="F5" s="853"/>
      <c r="G5" s="853"/>
      <c r="H5" s="853"/>
      <c r="I5" s="853"/>
      <c r="J5" s="853"/>
      <c r="K5" s="853"/>
      <c r="L5" s="854"/>
    </row>
    <row r="6" spans="2:29" ht="15.75">
      <c r="B6" s="852" t="str">
        <f>Ceny_n!$B$276</f>
        <v>Výška rámečku je standardně o 6 mm menší, než uvedená vnitřní výška skříňky.</v>
      </c>
      <c r="C6" s="853"/>
      <c r="D6" s="853"/>
      <c r="E6" s="853"/>
      <c r="F6" s="853"/>
      <c r="G6" s="853"/>
      <c r="H6" s="853"/>
      <c r="I6" s="853"/>
      <c r="J6" s="853"/>
      <c r="K6" s="853"/>
      <c r="L6" s="854"/>
    </row>
    <row r="7" spans="2:29" ht="15.75">
      <c r="B7" s="852" t="str">
        <f>Ceny_n!$B$277</f>
        <v>Standardně jsou rámečky připraveny pro posuvné kování H27AL (nosnost 25 kg na rámeček) a H37AL (nosnost 35 kg na rámeček)</v>
      </c>
      <c r="C7" s="853"/>
      <c r="D7" s="853"/>
      <c r="E7" s="853"/>
      <c r="F7" s="853"/>
      <c r="G7" s="853"/>
      <c r="H7" s="853"/>
      <c r="I7" s="853"/>
      <c r="J7" s="853"/>
      <c r="K7" s="853"/>
      <c r="L7" s="854"/>
    </row>
    <row r="8" spans="2:29">
      <c r="B8" s="80"/>
      <c r="L8" s="76"/>
    </row>
    <row r="9" spans="2:29" ht="15.75" customHeight="1">
      <c r="L9" s="76"/>
    </row>
    <row r="10" spans="2:29" ht="15.75" customHeight="1">
      <c r="K10" s="146"/>
      <c r="L10" s="147"/>
    </row>
    <row r="11" spans="2:29" ht="15.75" customHeight="1">
      <c r="K11" s="146"/>
      <c r="L11" s="147"/>
    </row>
    <row r="12" spans="2:29" ht="15" customHeight="1">
      <c r="K12" s="146"/>
      <c r="L12" s="147"/>
    </row>
    <row r="13" spans="2:29" ht="15" customHeight="1">
      <c r="K13" s="146"/>
      <c r="L13" s="147"/>
      <c r="AB13" s="799" t="s">
        <v>676</v>
      </c>
      <c r="AC13" s="799"/>
    </row>
    <row r="14" spans="2:29" ht="15.75" customHeight="1">
      <c r="L14" s="76"/>
      <c r="AB14" s="799"/>
      <c r="AC14" s="799"/>
    </row>
    <row r="15" spans="2:29">
      <c r="B15" s="80"/>
      <c r="L15" s="76"/>
      <c r="AB15" s="799"/>
      <c r="AC15" s="799"/>
    </row>
    <row r="16" spans="2:29" ht="15" customHeight="1">
      <c r="B16" s="867"/>
      <c r="C16" s="869" t="str">
        <f>Ceny_n!$B$230</f>
        <v xml:space="preserve">Vnitřní rozměr skříňky (mm)  </v>
      </c>
      <c r="D16" s="869"/>
      <c r="E16" s="869"/>
      <c r="F16" s="869"/>
      <c r="L16" s="76"/>
      <c r="W16" s="1" t="str">
        <f>Ceny_n!B6</f>
        <v>BRW (elox.)</v>
      </c>
      <c r="X16" s="1" t="str">
        <f>IF(Posuv!$E$35=0,"",IF((VLOOKUP(Posuv!$E$35,Ceny!$B$6:$R$44,17,0))=2,$AC16,$AB16))</f>
        <v/>
      </c>
      <c r="Y16" s="1" t="str">
        <f>IF(Posuv!$I$35=0,"",IF((VLOOKUP(Posuv!$I$35,Ceny!$B$6:$R$44,17,0))=2,$AC16,$AB16))</f>
        <v/>
      </c>
      <c r="Z16" s="1" t="str">
        <f>IF(Posuv!$M$35=0,"",IF((VLOOKUP(Posuv!$M$35,Ceny!$B$6:$R$44,17,0))=2,$AC16,$AB16))</f>
        <v/>
      </c>
      <c r="AB16" s="1" t="e">
        <f t="array" ref="AB16:AB79">SKLO_ALL</f>
        <v>#REF!</v>
      </c>
      <c r="AC16" s="1" t="str">
        <f>Ceny_n!B60</f>
        <v>Stopsol bronz</v>
      </c>
    </row>
    <row r="17" spans="2:29" ht="15.75" customHeight="1">
      <c r="B17" s="868"/>
      <c r="L17" s="76"/>
      <c r="M17" s="1" t="s">
        <v>1372</v>
      </c>
      <c r="N17" s="135" t="s">
        <v>836</v>
      </c>
      <c r="O17" s="135" t="s">
        <v>837</v>
      </c>
      <c r="P17" s="135" t="s">
        <v>838</v>
      </c>
      <c r="Q17" s="1" t="s">
        <v>839</v>
      </c>
      <c r="R17" s="1" t="s">
        <v>840</v>
      </c>
      <c r="S17" s="1" t="s">
        <v>841</v>
      </c>
      <c r="T17" s="1" t="s">
        <v>842</v>
      </c>
      <c r="W17" s="1" t="str">
        <f>Ceny_n!B7</f>
        <v>BRW antracit</v>
      </c>
      <c r="X17" s="1" t="str">
        <f>IF(Posuv!$E$35=0,"",IF((VLOOKUP(Posuv!$E$35,Ceny!$B$6:$R$44,17,0))=2,$AC17,$AB17))</f>
        <v/>
      </c>
      <c r="Y17" s="1" t="str">
        <f>IF(Posuv!$I$35=0,"",IF((VLOOKUP(Posuv!$I$35,Ceny!$B$6:$R$44,17,0))=2,$AC17,$AB17))</f>
        <v/>
      </c>
      <c r="Z17" s="1" t="str">
        <f>IF(Posuv!$M$35=0,"",IF((VLOOKUP(Posuv!$M$35,Ceny!$B$6:$R$44,17,0))=2,$AC17,$AB17))</f>
        <v/>
      </c>
      <c r="AB17" s="1" t="e">
        <v>#REF!</v>
      </c>
      <c r="AC17" s="1" t="str">
        <f>Ceny_n!B61</f>
        <v>Lakomat</v>
      </c>
    </row>
    <row r="18" spans="2:29">
      <c r="B18" s="154" t="s">
        <v>0</v>
      </c>
      <c r="L18" s="76"/>
      <c r="M18" s="1" t="e">
        <f>IF(ISNA(VLOOKUP(Posuv!E35,#REF!,3,FALSE)),0,VLOOKUP(Posuv!E35,#REF!,3,FALSE))</f>
        <v>#REF!</v>
      </c>
      <c r="N18" s="135">
        <f>IF(Posuv!E35=0,0,VLOOKUP(Posuv!E35,Ceny!$B$6:$Q$70,16,0))</f>
        <v>0</v>
      </c>
      <c r="O18" s="135">
        <f>IF(N18=2,Posuv!E30,0)</f>
        <v>0</v>
      </c>
      <c r="P18" s="135">
        <f>IF(N18=1,Posuv!E30,0)</f>
        <v>0</v>
      </c>
      <c r="Q18" s="1">
        <f>IF(Posuv!E28=0,0,IF((Posuv!E28*2)&lt;=2000,1,0))</f>
        <v>0</v>
      </c>
      <c r="R18" s="1">
        <f>IF(Posuv!E28=0,0,IF((Posuv!E28*2)&lt;=2000,0,IF((Posuv!E28*2)&gt;2000,IF((Posuv!E28*2)&lt;=3000,1,0))))</f>
        <v>0</v>
      </c>
      <c r="S18" s="1">
        <f>2*(IF(Posuv!E28=0,0,IF(Posuv!E28&lt;1501,0,IF(Posuv!E28&gt;2000,0,IF(Posuv!E28&lt;=2000,1,0)))))</f>
        <v>0</v>
      </c>
      <c r="T18" s="1">
        <f>2*(IF(Posuv!E28=0,0,IF(Posuv!E28&lt;2001,0,IF(Posuv!E28&gt;3000,0,IF(Posuv!E28&lt;=3000,1,0)))))</f>
        <v>0</v>
      </c>
      <c r="W18" s="1" t="str">
        <f>Ceny_n!B8</f>
        <v>BRW bílá mat</v>
      </c>
      <c r="X18" s="1" t="str">
        <f>IF(Posuv!$E$35=0,"",IF((VLOOKUP(Posuv!$E$35,Ceny!$B$6:$R$44,17,0))=2,$AC18,$AB18))</f>
        <v/>
      </c>
      <c r="Y18" s="1" t="str">
        <f>IF(Posuv!$I$35=0,"",IF((VLOOKUP(Posuv!$I$35,Ceny!$B$6:$R$44,17,0))=2,$AC18,$AB18))</f>
        <v/>
      </c>
      <c r="Z18" s="1" t="str">
        <f>IF(Posuv!$M$35=0,"",IF((VLOOKUP(Posuv!$M$35,Ceny!$B$6:$R$44,17,0))=2,$AC18,$AB18))</f>
        <v/>
      </c>
      <c r="AB18" s="1" t="e">
        <v>#REF!</v>
      </c>
      <c r="AC18" s="1" t="str">
        <f>Ceny_n!B72</f>
        <v>Master  Ligne</v>
      </c>
    </row>
    <row r="19" spans="2:29">
      <c r="B19" s="155" t="s">
        <v>1</v>
      </c>
      <c r="L19" s="76"/>
      <c r="M19" s="1" t="e">
        <f>IF(ISNA(VLOOKUP(Posuv!I35,#REF!,3,FALSE)),0,VLOOKUP(Posuv!I35,#REF!,3,FALSE))</f>
        <v>#REF!</v>
      </c>
      <c r="N19" s="135">
        <f>IF(Posuv!I35=0,0,VLOOKUP(Posuv!I35,Ceny!$B$6:$Q$44,16,0))</f>
        <v>0</v>
      </c>
      <c r="O19" s="135">
        <f>IF(N19=2,Posuv!I30,0)</f>
        <v>0</v>
      </c>
      <c r="P19" s="135">
        <f>IF(N19=1,Posuv!I30,0)</f>
        <v>0</v>
      </c>
      <c r="Q19" s="1">
        <f>IF(Posuv!I28=0,0,IF((Posuv!I28*2)&lt;=2000,1,0))</f>
        <v>0</v>
      </c>
      <c r="R19" s="1">
        <f>IF(Posuv!I28=0,0,IF((Posuv!I28*2)&lt;=2000,0,IF((Posuv!I28*2)&gt;2000,IF((Posuv!I28*2)&lt;=3000,1,0))))</f>
        <v>0</v>
      </c>
      <c r="S19" s="1">
        <f>2*(IF(Posuv!I28=0,0,IF(Posuv!I28&lt;1501,0,IF(Posuv!I28&gt;2000,0,IF(Posuv!I28&lt;=2000,1,0)))))</f>
        <v>0</v>
      </c>
      <c r="T19" s="1">
        <f>2*(IF(Posuv!I28=0,0,IF(Posuv!I28&lt;2001,0,IF(Posuv!I28&gt;3000,0,IF(Posuv!I28&lt;=3000,1,0)))))</f>
        <v>0</v>
      </c>
      <c r="W19" s="1" t="str">
        <f>Ceny_n!B10</f>
        <v>BRW hnědá</v>
      </c>
      <c r="X19" s="1" t="str">
        <f>IF(Posuv!$E$35=0,"",IF((VLOOKUP(Posuv!$E$35,Ceny!$B$6:$R$44,17,0))=2,$AC19,$AB19))</f>
        <v/>
      </c>
      <c r="Y19" s="1" t="str">
        <f>IF(Posuv!$I$35=0,"",IF((VLOOKUP(Posuv!$I$35,Ceny!$B$6:$R$44,17,0))=2,$AC19,$AB19))</f>
        <v/>
      </c>
      <c r="Z19" s="1" t="str">
        <f>IF(Posuv!$M$35=0,"",IF((VLOOKUP(Posuv!$M$35,Ceny!$B$6:$R$44,17,0))=2,$AC19,$AB19))</f>
        <v/>
      </c>
      <c r="AB19" s="1" t="e">
        <v>#REF!</v>
      </c>
      <c r="AC19" s="1" t="str">
        <f>Ceny_n!B73</f>
        <v>Master  Point</v>
      </c>
    </row>
    <row r="20" spans="2:29">
      <c r="B20" s="156" t="s">
        <v>2</v>
      </c>
      <c r="L20" s="76"/>
      <c r="M20" s="1" t="e">
        <f>IF(ISNA(VLOOKUP(Posuv!M35,#REF!,3,FALSE)),0,VLOOKUP(Posuv!M35,#REF!,3,FALSE))</f>
        <v>#REF!</v>
      </c>
      <c r="N20" s="135">
        <f>IF(Posuv!M35=0,0,VLOOKUP(Posuv!M35,Ceny!$B$6:$Q$44,16,0))</f>
        <v>0</v>
      </c>
      <c r="O20" s="135">
        <f>IF(N20=2,Posuv!M30,0)</f>
        <v>0</v>
      </c>
      <c r="P20" s="135">
        <f>IF(N20=1,Posuv!M30,0)</f>
        <v>0</v>
      </c>
      <c r="Q20" s="1">
        <f>IF(Posuv!M28=0,0,IF((Posuv!M28*2)&lt;=2000,1,0))</f>
        <v>0</v>
      </c>
      <c r="R20" s="1">
        <f>IF(Posuv!M28=0,0,IF((Posuv!M28*2)&lt;=2000,0,IF((Posuv!M28*2)&gt;2000,IF((Posuv!M28*2)&lt;=3000,1,0))))</f>
        <v>0</v>
      </c>
      <c r="S20" s="1">
        <f>2*(IF(Posuv!M28=0,0,IF(Posuv!M28&lt;1501,0,IF(Posuv!M28&gt;2000,0,IF(Posuv!M28&lt;=2000,1,0)))))</f>
        <v>0</v>
      </c>
      <c r="T20" s="1">
        <f>2*(IF(Posuv!M28=0,0,IF(Posuv!M28&lt;2001,0,IF(Posuv!M28&gt;3000,0,IF(Posuv!M28&lt;=3000,1,0)))))</f>
        <v>0</v>
      </c>
      <c r="W20" s="1" t="str">
        <f>Ceny_n!B11</f>
        <v>BRW broušené</v>
      </c>
      <c r="X20" s="1" t="str">
        <f>IF(Posuv!$E$35=0,"",IF((VLOOKUP(Posuv!$E$35,Ceny!$B$6:$R$44,17,0))=2,$AC20,$AB20))</f>
        <v/>
      </c>
      <c r="Y20" s="1" t="str">
        <f>IF(Posuv!$I$35=0,"",IF((VLOOKUP(Posuv!$I$35,Ceny!$B$6:$R$44,17,0))=2,$AC20,$AB20))</f>
        <v/>
      </c>
      <c r="Z20" s="1" t="str">
        <f>IF(Posuv!$M$35=0,"",IF((VLOOKUP(Posuv!$M$35,Ceny!$B$6:$R$44,17,0))=2,$AC20,$AB20))</f>
        <v/>
      </c>
      <c r="AB20" s="1" t="e">
        <v>#REF!</v>
      </c>
      <c r="AC20" s="1" t="str">
        <f>Ceny_n!B74</f>
        <v xml:space="preserve">Master  Ray </v>
      </c>
    </row>
    <row r="21" spans="2:29" ht="21">
      <c r="B21" s="80"/>
      <c r="C21" s="158" t="str">
        <f>IF(Posuv!E26&gt;1500,Ceny!$B$290,IF(Posuv!I26&gt;1500,Ceny!$B$290,IF(Posuv!M26&gt;1500,Ceny!$B$290,IF(Posuv!E28&gt;2800,Ceny!$B$290,IF(Posuv!I28&gt;2800,Ceny!$B$290,IF(Posuv!M28&gt;2800,Ceny!$B$290,""))))))</f>
        <v/>
      </c>
      <c r="K21" s="865"/>
      <c r="L21" s="866"/>
      <c r="N21" s="135"/>
      <c r="O21" s="135">
        <f t="shared" ref="O21:T21" si="0">SUM(O18:O20)</f>
        <v>0</v>
      </c>
      <c r="P21" s="135">
        <f t="shared" si="0"/>
        <v>0</v>
      </c>
      <c r="Q21" s="1">
        <f t="shared" si="0"/>
        <v>0</v>
      </c>
      <c r="R21" s="1">
        <f t="shared" si="0"/>
        <v>0</v>
      </c>
      <c r="S21" s="1">
        <f t="shared" si="0"/>
        <v>0</v>
      </c>
      <c r="T21" s="1">
        <f t="shared" si="0"/>
        <v>0</v>
      </c>
      <c r="W21" s="1" t="str">
        <f>Ceny_n!B12</f>
        <v>BRW černá mat</v>
      </c>
      <c r="X21" s="1" t="str">
        <f>IF(Posuv!$E$35=0,"",IF((VLOOKUP(Posuv!$E$35,Ceny!$B$6:$R$44,17,0))=2,$AC21,$AB21))</f>
        <v/>
      </c>
      <c r="Y21" s="1" t="str">
        <f>IF(Posuv!$I$35=0,"",IF((VLOOKUP(Posuv!$I$35,Ceny!$B$6:$R$44,17,0))=2,$AC21,$AB21))</f>
        <v/>
      </c>
      <c r="Z21" s="1" t="str">
        <f>IF(Posuv!$M$35=0,"",IF((VLOOKUP(Posuv!$M$35,Ceny!$B$6:$R$44,17,0))=2,$AC21,$AB21))</f>
        <v/>
      </c>
      <c r="AB21" s="1" t="e">
        <v>#REF!</v>
      </c>
      <c r="AC21" s="1" t="str">
        <f>Ceny_n!B75</f>
        <v>Master  Shine</v>
      </c>
    </row>
    <row r="22" spans="2:29">
      <c r="B22" s="80"/>
      <c r="D22" s="865"/>
      <c r="E22" s="865"/>
      <c r="F22" s="865"/>
      <c r="G22" s="865"/>
      <c r="H22" s="865"/>
      <c r="I22" s="865"/>
      <c r="J22" s="865"/>
      <c r="K22" s="865"/>
      <c r="L22" s="866"/>
      <c r="W22" s="1" t="str">
        <f>Ceny_n!B14</f>
        <v>BRW černá broušená</v>
      </c>
      <c r="X22" s="1" t="str">
        <f>IF(Posuv!$E$35=0,"",IF((VLOOKUP(Posuv!$E$35,Ceny!$B$6:$R$44,17,0))=2,$AC22,$AB22))</f>
        <v/>
      </c>
      <c r="Y22" s="1" t="str">
        <f>IF(Posuv!$I$35=0,"",IF((VLOOKUP(Posuv!$I$35,Ceny!$B$6:$R$44,17,0))=2,$AC22,$AB22))</f>
        <v/>
      </c>
      <c r="Z22" s="1" t="str">
        <f>IF(Posuv!$M$35=0,"",IF((VLOOKUP(Posuv!$M$35,Ceny!$B$6:$R$44,17,0))=2,$AC22,$AB22))</f>
        <v/>
      </c>
      <c r="AB22" s="1" t="e">
        <v>#REF!</v>
      </c>
      <c r="AC22" s="1" t="str">
        <f>Ceny_n!B76</f>
        <v>Lacobel RAL 1013</v>
      </c>
    </row>
    <row r="23" spans="2:29" ht="25.5" customHeight="1">
      <c r="B23" s="80"/>
      <c r="L23" s="76"/>
      <c r="M23" s="1">
        <f>IF(N23=TRUE,1,2)</f>
        <v>1</v>
      </c>
      <c r="N23" s="87" t="b">
        <v>1</v>
      </c>
      <c r="W23" s="1" t="str">
        <f>Ceny_n!B15</f>
        <v>BRW světlá nerez (ACIER GRATA)</v>
      </c>
      <c r="X23" s="1" t="str">
        <f>IF(Posuv!$E$35=0,"",IF((VLOOKUP(Posuv!$E$35,Ceny!$B$6:$R$44,17,0))=2,$AC23,$AB23))</f>
        <v/>
      </c>
      <c r="Y23" s="1" t="str">
        <f>IF(Posuv!$I$35=0,"",IF((VLOOKUP(Posuv!$I$35,Ceny!$B$6:$R$44,17,0))=2,$AC23,$AB23))</f>
        <v/>
      </c>
      <c r="Z23" s="1" t="str">
        <f>IF(Posuv!$M$35=0,"",IF((VLOOKUP(Posuv!$M$35,Ceny!$B$6:$R$44,17,0))=2,$AC23,$AB23))</f>
        <v/>
      </c>
      <c r="AB23" s="1" t="e">
        <v>#REF!</v>
      </c>
      <c r="AC23" s="1" t="str">
        <f>Ceny_n!B77</f>
        <v>Lacobel RAL 1014</v>
      </c>
    </row>
    <row r="24" spans="2:29">
      <c r="B24" s="80"/>
      <c r="L24" s="76"/>
      <c r="M24" s="1">
        <f>P21</f>
        <v>0</v>
      </c>
      <c r="W24" s="1" t="str">
        <f>Ceny_n!B16</f>
        <v>BRW champagne</v>
      </c>
      <c r="X24" s="1" t="str">
        <f>IF(Posuv!$E$35=0,"",IF((VLOOKUP(Posuv!$E$35,Ceny!$B$6:$R$44,17,0))=2,$AC24,$AB24))</f>
        <v/>
      </c>
      <c r="Y24" s="1" t="str">
        <f>IF(Posuv!$I$35=0,"",IF((VLOOKUP(Posuv!$I$35,Ceny!$B$6:$R$44,17,0))=2,$AC24,$AB24))</f>
        <v/>
      </c>
      <c r="Z24" s="1" t="str">
        <f>IF(Posuv!$M$35=0,"",IF((VLOOKUP(Posuv!$M$35,Ceny!$B$6:$R$44,17,0))=2,$AC24,$AB24))</f>
        <v/>
      </c>
      <c r="AB24" s="1" t="e">
        <v>#REF!</v>
      </c>
      <c r="AC24" s="1" t="str">
        <f>Ceny_n!B78</f>
        <v>Lacobel RAL 1015</v>
      </c>
    </row>
    <row r="25" spans="2:29">
      <c r="B25" s="80"/>
      <c r="L25" s="76"/>
      <c r="M25" s="1">
        <f>O21</f>
        <v>0</v>
      </c>
      <c r="W25" s="1" t="str">
        <f>Ceny_n!B17</f>
        <v>BRW tmavá nerez br. (Inox lija)</v>
      </c>
      <c r="X25" s="1" t="str">
        <f>IF(Posuv!$E$35=0,"",IF((VLOOKUP(Posuv!$E$35,Ceny!$B$6:$R$44,17,0))=2,$AC25,$AB25))</f>
        <v/>
      </c>
      <c r="Y25" s="1" t="str">
        <f>IF(Posuv!$I$35=0,"",IF((VLOOKUP(Posuv!$I$35,Ceny!$B$6:$R$44,17,0))=2,$AC25,$AB25))</f>
        <v/>
      </c>
      <c r="Z25" s="1" t="str">
        <f>IF(Posuv!$M$35=0,"",IF((VLOOKUP(Posuv!$M$35,Ceny!$B$6:$R$44,17,0))=2,$AC25,$AB25))</f>
        <v/>
      </c>
      <c r="AB25" s="1" t="e">
        <v>#REF!</v>
      </c>
      <c r="AC25" s="1" t="str">
        <f>Ceny_n!B79</f>
        <v>Lacobel RAL 2001</v>
      </c>
    </row>
    <row r="26" spans="2:29">
      <c r="B26" s="80"/>
      <c r="L26" s="76"/>
      <c r="M26" s="1">
        <f>SUM(Q21,S21)</f>
        <v>0</v>
      </c>
      <c r="W26" s="1" t="str">
        <f>Ceny_n!B18</f>
        <v>Corleone (elox.)</v>
      </c>
      <c r="X26" s="1" t="str">
        <f>IF(Posuv!$E$35=0,"",IF((VLOOKUP(Posuv!$E$35,Ceny!$B$6:$R$44,17,0))=2,$AC26,$AB26))</f>
        <v/>
      </c>
      <c r="Y26" s="1" t="str">
        <f>IF(Posuv!$I$35=0,"",IF((VLOOKUP(Posuv!$I$35,Ceny!$B$6:$R$44,17,0))=2,$AC26,$AB26))</f>
        <v/>
      </c>
      <c r="Z26" s="1" t="str">
        <f>IF(Posuv!$M$35=0,"",IF((VLOOKUP(Posuv!$M$35,Ceny!$B$6:$R$44,17,0))=2,$AC26,$AB26))</f>
        <v/>
      </c>
      <c r="AB26" s="1" t="e">
        <v>#REF!</v>
      </c>
      <c r="AC26" s="1" t="str">
        <f>Ceny_n!B80</f>
        <v>Lacobel RAL 3004</v>
      </c>
    </row>
    <row r="27" spans="2:29">
      <c r="B27" s="80"/>
      <c r="L27" s="76"/>
      <c r="M27" s="1">
        <f>SUM(Q21,S21)</f>
        <v>0</v>
      </c>
      <c r="W27" s="1" t="str">
        <f>Ceny_n!B19</f>
        <v>Corleone černé mat</v>
      </c>
      <c r="X27" s="1" t="str">
        <f>IF(Posuv!$E$35=0,"",IF((VLOOKUP(Posuv!$E$35,Ceny!$B$6:$R$44,17,0))=2,$AC27,$AB27))</f>
        <v/>
      </c>
      <c r="Y27" s="1" t="str">
        <f>IF(Posuv!$I$35=0,"",IF((VLOOKUP(Posuv!$I$35,Ceny!$B$6:$R$44,17,0))=2,$AC27,$AB27))</f>
        <v/>
      </c>
      <c r="Z27" s="1" t="str">
        <f>IF(Posuv!$M$35=0,"",IF((VLOOKUP(Posuv!$M$35,Ceny!$B$6:$R$44,17,0))=2,$AC27,$AB27))</f>
        <v/>
      </c>
      <c r="AB27" s="1" t="e">
        <v>#REF!</v>
      </c>
      <c r="AC27" s="1" t="str">
        <f>Ceny_n!B81</f>
        <v>Lacobel RAL 4006</v>
      </c>
    </row>
    <row r="28" spans="2:29">
      <c r="B28" s="80"/>
      <c r="L28" s="76"/>
      <c r="M28" s="1">
        <f>SUM(R21,T21)</f>
        <v>0</v>
      </c>
      <c r="W28" s="1" t="str">
        <f>Ceny_n!B20</f>
        <v>Corleone champagne</v>
      </c>
      <c r="X28" s="1" t="str">
        <f>IF(Posuv!$E$35=0,"",IF((VLOOKUP(Posuv!$E$35,Ceny!$B$6:$R$44,17,0))=2,$AC28,$AB28))</f>
        <v/>
      </c>
      <c r="Y28" s="1" t="str">
        <f>IF(Posuv!$I$35=0,"",IF((VLOOKUP(Posuv!$I$35,Ceny!$B$6:$R$44,17,0))=2,$AC28,$AB28))</f>
        <v/>
      </c>
      <c r="Z28" s="1" t="str">
        <f>IF(Posuv!$M$35=0,"",IF((VLOOKUP(Posuv!$M$35,Ceny!$B$6:$R$44,17,0))=2,$AC28,$AB28))</f>
        <v/>
      </c>
      <c r="AB28" s="1" t="e">
        <v>#REF!</v>
      </c>
      <c r="AC28" s="1" t="str">
        <f>Ceny_n!B82</f>
        <v>Lacobel RAL 5002</v>
      </c>
    </row>
    <row r="29" spans="2:29">
      <c r="B29" s="80"/>
      <c r="L29" s="76"/>
      <c r="M29" s="1">
        <f>SUM(R21,T21)</f>
        <v>0</v>
      </c>
      <c r="W29" s="1" t="str">
        <f>Ceny_n!B21</f>
        <v>Imola (elox.)</v>
      </c>
      <c r="X29" s="1" t="str">
        <f>IF(Posuv!$E$35=0,"",IF((VLOOKUP(Posuv!$E$35,Ceny!$B$6:$R$44,17,0))=2,$AC29,$AB29))</f>
        <v/>
      </c>
      <c r="Y29" s="1" t="str">
        <f>IF(Posuv!$I$35=0,"",IF((VLOOKUP(Posuv!$I$35,Ceny!$B$6:$R$44,17,0))=2,$AC29,$AB29))</f>
        <v/>
      </c>
      <c r="Z29" s="1" t="str">
        <f>IF(Posuv!$M$35=0,"",IF((VLOOKUP(Posuv!$M$35,Ceny!$B$6:$R$44,17,0))=2,$AC29,$AB29))</f>
        <v/>
      </c>
      <c r="AB29" s="1" t="e">
        <v>#REF!</v>
      </c>
      <c r="AC29" s="1" t="str">
        <f>Ceny_n!B83</f>
        <v>Lacobel RAL 7035</v>
      </c>
    </row>
    <row r="30" spans="2:29">
      <c r="B30" s="80"/>
      <c r="F30" s="144"/>
      <c r="G30" s="144"/>
      <c r="H30" s="144"/>
      <c r="I30" s="144"/>
      <c r="L30" s="76"/>
      <c r="W30" s="1" t="str">
        <f>Ceny_n!B22</f>
        <v>Imola černá mat</v>
      </c>
      <c r="X30" s="1" t="str">
        <f>IF(Posuv!$E$35=0,"",IF((VLOOKUP(Posuv!$E$35,Ceny!$B$6:$R$44,17,0))=2,$AC30,$AB30))</f>
        <v/>
      </c>
      <c r="Y30" s="1" t="str">
        <f>IF(Posuv!$I$35=0,"",IF((VLOOKUP(Posuv!$I$35,Ceny!$B$6:$R$44,17,0))=2,$AC30,$AB30))</f>
        <v/>
      </c>
      <c r="Z30" s="1" t="str">
        <f>IF(Posuv!$M$35=0,"",IF((VLOOKUP(Posuv!$M$35,Ceny!$B$6:$R$44,17,0))=2,$AC30,$AB30))</f>
        <v/>
      </c>
      <c r="AB30" s="1" t="e">
        <v>#REF!</v>
      </c>
      <c r="AC30" s="1" t="str">
        <f>Ceny_n!B84</f>
        <v>Lacobel RAL 8017</v>
      </c>
    </row>
    <row r="31" spans="2:29">
      <c r="B31" s="80"/>
      <c r="F31" s="144"/>
      <c r="G31" s="144"/>
      <c r="H31" s="144"/>
      <c r="I31" s="144"/>
      <c r="L31" s="76"/>
      <c r="W31" s="1" t="str">
        <f>Ceny_n!B24</f>
        <v>Modena (elox.)</v>
      </c>
      <c r="X31" s="1" t="str">
        <f>IF(Posuv!$E$35=0,"",IF((VLOOKUP(Posuv!$E$35,Ceny!$B$6:$R$44,17,0))=2,$AC31,$AB31))</f>
        <v/>
      </c>
      <c r="Y31" s="1" t="str">
        <f>IF(Posuv!$I$35=0,"",IF((VLOOKUP(Posuv!$I$35,Ceny!$B$6:$R$44,17,0))=2,$AC31,$AB31))</f>
        <v/>
      </c>
      <c r="Z31" s="1" t="str">
        <f>IF(Posuv!$M$35=0,"",IF((VLOOKUP(Posuv!$M$35,Ceny!$B$6:$R$44,17,0))=2,$AC31,$AB31))</f>
        <v/>
      </c>
      <c r="AB31" s="1" t="e">
        <v>#REF!</v>
      </c>
      <c r="AC31" s="1" t="str">
        <f>Ceny_n!B85</f>
        <v>Lacobel RAL 9003</v>
      </c>
    </row>
    <row r="32" spans="2:29">
      <c r="B32" s="80"/>
      <c r="F32" s="144"/>
      <c r="G32" s="144"/>
      <c r="H32" s="144"/>
      <c r="I32" s="144"/>
      <c r="L32" s="76"/>
      <c r="W32" s="1" t="str">
        <f>Ceny_n!B25</f>
        <v>Modena černá mat</v>
      </c>
      <c r="X32" s="1" t="str">
        <f>IF(Posuv!$E$35=0,"",IF((VLOOKUP(Posuv!$E$35,Ceny!$B$6:$R$44,17,0))=2,$AC32,$AB32))</f>
        <v/>
      </c>
      <c r="Y32" s="1" t="str">
        <f>IF(Posuv!$I$35=0,"",IF((VLOOKUP(Posuv!$I$35,Ceny!$B$6:$R$44,17,0))=2,$AC32,$AB32))</f>
        <v/>
      </c>
      <c r="Z32" s="1" t="str">
        <f>IF(Posuv!$M$35=0,"",IF((VLOOKUP(Posuv!$M$35,Ceny!$B$6:$R$44,17,0))=2,$AC32,$AB32))</f>
        <v/>
      </c>
      <c r="AB32" s="1" t="e">
        <v>#REF!</v>
      </c>
      <c r="AC32" s="1" t="str">
        <f>Ceny_n!B86</f>
        <v>Lacobel RAL 9005</v>
      </c>
    </row>
    <row r="33" spans="2:29">
      <c r="B33" s="80"/>
      <c r="F33" s="144"/>
      <c r="G33" s="144"/>
      <c r="H33" s="144"/>
      <c r="I33" s="144"/>
      <c r="L33" s="76"/>
      <c r="W33" s="1" t="str">
        <f>Ceny_n!B27</f>
        <v>Modena černá broušená</v>
      </c>
      <c r="X33" s="1" t="str">
        <f>IF(Posuv!$E$35=0,"",IF((VLOOKUP(Posuv!$E$35,Ceny!$B$6:$R$44,17,0))=2,$AC33,$AB33))</f>
        <v/>
      </c>
      <c r="Y33" s="1" t="str">
        <f>IF(Posuv!$I$35=0,"",IF((VLOOKUP(Posuv!$I$35,Ceny!$B$6:$R$44,17,0))=2,$AC33,$AB33))</f>
        <v/>
      </c>
      <c r="Z33" s="1" t="str">
        <f>IF(Posuv!$M$35=0,"",IF((VLOOKUP(Posuv!$M$35,Ceny!$B$6:$R$44,17,0))=2,$AC33,$AB33))</f>
        <v/>
      </c>
      <c r="AB33" s="1" t="e">
        <v>#REF!</v>
      </c>
      <c r="AC33" s="1" t="str">
        <f>Ceny_n!B87</f>
        <v>Lacobel RAL 9006</v>
      </c>
    </row>
    <row r="34" spans="2:29">
      <c r="B34" s="80"/>
      <c r="F34" s="144"/>
      <c r="G34" s="144"/>
      <c r="H34" s="144"/>
      <c r="I34" s="144"/>
      <c r="L34" s="76"/>
      <c r="W34" s="1" t="str">
        <f>Ceny_n!B28</f>
        <v>Modena tmavá nerez br. (inox lija)</v>
      </c>
      <c r="X34" s="1" t="str">
        <f>IF(Posuv!$E$35=0,"",IF((VLOOKUP(Posuv!$E$35,Ceny!$B$6:$R$44,17,0))=2,$AC34,$AB34))</f>
        <v/>
      </c>
      <c r="Y34" s="1" t="str">
        <f>IF(Posuv!$I$35=0,"",IF((VLOOKUP(Posuv!$I$35,Ceny!$B$6:$R$44,17,0))=2,$AC34,$AB34))</f>
        <v/>
      </c>
      <c r="Z34" s="1" t="str">
        <f>IF(Posuv!$M$35=0,"",IF((VLOOKUP(Posuv!$M$35,Ceny!$B$6:$R$44,17,0))=2,$AC34,$AB34))</f>
        <v/>
      </c>
      <c r="AB34" s="1" t="e">
        <v>#REF!</v>
      </c>
      <c r="AC34" s="1" t="str">
        <f>Ceny_n!B88</f>
        <v>Lacobel RAL 9007</v>
      </c>
    </row>
    <row r="35" spans="2:29">
      <c r="B35" s="81"/>
      <c r="C35" s="82"/>
      <c r="D35" s="82"/>
      <c r="E35" s="82"/>
      <c r="F35" s="82"/>
      <c r="G35" s="82"/>
      <c r="H35" s="82"/>
      <c r="I35" s="82"/>
      <c r="J35" s="82"/>
      <c r="K35" s="82"/>
      <c r="L35" s="84"/>
      <c r="W35" s="1" t="str">
        <f>Ceny_n!B29</f>
        <v>Palio (elox.)</v>
      </c>
      <c r="X35" s="1" t="str">
        <f>IF(Posuv!$E$35=0,"",IF((VLOOKUP(Posuv!$E$35,Ceny!$B$6:$R$44,17,0))=2,$AC35,$AB35))</f>
        <v/>
      </c>
      <c r="Y35" s="1" t="str">
        <f>IF(Posuv!$I$35=0,"",IF((VLOOKUP(Posuv!$I$35,Ceny!$B$6:$R$44,17,0))=2,$AC35,$AB35))</f>
        <v/>
      </c>
      <c r="Z35" s="1" t="str">
        <f>IF(Posuv!$M$35=0,"",IF((VLOOKUP(Posuv!$M$35,Ceny!$B$6:$R$44,17,0))=2,$AC35,$AB35))</f>
        <v/>
      </c>
      <c r="AB35" s="1" t="e">
        <v>#REF!</v>
      </c>
      <c r="AC35" s="1" t="str">
        <f>Ceny_n!B89</f>
        <v>Lacobel RAL 9010</v>
      </c>
    </row>
    <row r="36" spans="2:29" ht="39.75" customHeight="1">
      <c r="B36" s="855" t="str">
        <f>Ceny_n!$B$137</f>
        <v>Poznámky</v>
      </c>
      <c r="C36" s="856"/>
      <c r="D36" s="856"/>
      <c r="E36" s="859"/>
      <c r="F36" s="859"/>
      <c r="G36" s="859"/>
      <c r="H36" s="859"/>
      <c r="I36" s="859"/>
      <c r="J36" s="859"/>
      <c r="K36" s="859"/>
      <c r="L36" s="860"/>
      <c r="W36" s="1" t="str">
        <f>Ceny_n!B30</f>
        <v>Pisa (elox.)</v>
      </c>
      <c r="X36" s="1" t="str">
        <f>IF(Posuv!$E$35=0,"",IF((VLOOKUP(Posuv!$E$35,Ceny!$B$6:$R$44,17,0))=2,$AC36,$AB36))</f>
        <v/>
      </c>
      <c r="Y36" s="1" t="str">
        <f>IF(Posuv!$I$35=0,"",IF((VLOOKUP(Posuv!$I$35,Ceny!$B$6:$R$44,17,0))=2,$AC36,$AB36))</f>
        <v/>
      </c>
      <c r="Z36" s="1" t="str">
        <f>IF(Posuv!$M$35=0,"",IF((VLOOKUP(Posuv!$M$35,Ceny!$B$6:$R$44,17,0))=2,$AC36,$AB36))</f>
        <v/>
      </c>
      <c r="AB36" s="1" t="e">
        <v>#REF!</v>
      </c>
      <c r="AC36" s="1" t="str">
        <f>Ceny_n!B90</f>
        <v>Lacobel REF 0128</v>
      </c>
    </row>
    <row r="37" spans="2:29" ht="49.5" customHeight="1">
      <c r="B37" s="857"/>
      <c r="C37" s="858"/>
      <c r="D37" s="858"/>
      <c r="E37" s="861"/>
      <c r="F37" s="861"/>
      <c r="G37" s="861"/>
      <c r="H37" s="861"/>
      <c r="I37" s="861"/>
      <c r="J37" s="861"/>
      <c r="K37" s="861"/>
      <c r="L37" s="862"/>
      <c r="W37" s="1" t="str">
        <f>Ceny_n!B31</f>
        <v>Pisa černá mat</v>
      </c>
      <c r="X37" s="1" t="str">
        <f>IF(Posuv!$E$35=0,"",IF((VLOOKUP(Posuv!$E$35,Ceny!$B$6:$R$44,17,0))=2,$AC37,$AB37))</f>
        <v/>
      </c>
      <c r="Y37" s="1" t="str">
        <f>IF(Posuv!$I$35=0,"",IF((VLOOKUP(Posuv!$I$35,Ceny!$B$6:$R$44,17,0))=2,$AC37,$AB37))</f>
        <v/>
      </c>
      <c r="Z37" s="1" t="str">
        <f>IF(Posuv!$M$35=0,"",IF((VLOOKUP(Posuv!$M$35,Ceny!$B$6:$R$44,17,0))=2,$AC37,$AB37))</f>
        <v/>
      </c>
      <c r="AB37" s="1" t="e">
        <v>#REF!</v>
      </c>
      <c r="AC37" s="1" t="str">
        <f>Ceny_n!B91</f>
        <v>Lacobel REF 0327</v>
      </c>
    </row>
    <row r="38" spans="2:29" ht="15.75">
      <c r="B38" s="845" t="s">
        <v>819</v>
      </c>
      <c r="C38" s="846"/>
      <c r="D38" s="847"/>
      <c r="E38" s="847"/>
      <c r="F38" s="847"/>
      <c r="G38" s="847"/>
      <c r="H38" s="847"/>
      <c r="I38" s="847"/>
      <c r="J38" s="847"/>
      <c r="K38" s="847"/>
      <c r="L38" s="848"/>
      <c r="W38" s="1" t="str">
        <f>Ceny_n!B33</f>
        <v>Ravena (elox.)</v>
      </c>
      <c r="X38" s="1" t="str">
        <f>IF(Posuv!$E$35=0,"",IF((VLOOKUP(Posuv!$E$35,Ceny!$B$6:$R$44,17,0))=2,$AC38,$AB38))</f>
        <v/>
      </c>
      <c r="Y38" s="1" t="str">
        <f>IF(Posuv!$I$35=0,"",IF((VLOOKUP(Posuv!$I$35,Ceny!$B$6:$R$44,17,0))=2,$AC38,$AB38))</f>
        <v/>
      </c>
      <c r="Z38" s="1" t="str">
        <f>IF(Posuv!$M$35=0,"",IF((VLOOKUP(Posuv!$M$35,Ceny!$B$6:$R$44,17,0))=2,$AC38,$AB38))</f>
        <v/>
      </c>
      <c r="AB38" s="1" t="e">
        <v>#REF!</v>
      </c>
      <c r="AC38" s="1" t="str">
        <f>Ceny_n!B92</f>
        <v>Lacobel REF 0337</v>
      </c>
    </row>
    <row r="39" spans="2:29">
      <c r="W39" s="1" t="e">
        <f>Ceny_n!#REF!</f>
        <v>#REF!</v>
      </c>
      <c r="X39" s="1" t="str">
        <f>IF(Posuv!$E$35=0,"",IF((VLOOKUP(Posuv!$E$35,Ceny!$B$6:$R$44,17,0))=2,$AC39,$AB39))</f>
        <v/>
      </c>
      <c r="Y39" s="1" t="str">
        <f>IF(Posuv!$I$35=0,"",IF((VLOOKUP(Posuv!$I$35,Ceny!$B$6:$R$44,17,0))=2,$AC39,$AB39))</f>
        <v/>
      </c>
      <c r="Z39" s="1" t="str">
        <f>IF(Posuv!$M$35=0,"",IF((VLOOKUP(Posuv!$M$35,Ceny!$B$6:$R$44,17,0))=2,$AC39,$AB39))</f>
        <v/>
      </c>
      <c r="AB39" s="1" t="e">
        <v>#REF!</v>
      </c>
      <c r="AC39" s="1" t="str">
        <f>Ceny_n!B93</f>
        <v>Lacobel REF 0627</v>
      </c>
    </row>
    <row r="40" spans="2:29">
      <c r="W40" s="1" t="e">
        <f>Ceny_n!#REF!</f>
        <v>#REF!</v>
      </c>
      <c r="X40" s="1" t="str">
        <f>IF(Posuv!$E$35=0,"",IF((VLOOKUP(Posuv!$E$35,Ceny!$B$6:$R$44,17,0))=2,$AC40,$AB40))</f>
        <v/>
      </c>
      <c r="Y40" s="1" t="str">
        <f>IF(Posuv!$I$35=0,"",IF((VLOOKUP(Posuv!$I$35,Ceny!$B$6:$R$44,17,0))=2,$AC40,$AB40))</f>
        <v/>
      </c>
      <c r="Z40" s="1" t="str">
        <f>IF(Posuv!$M$35=0,"",IF((VLOOKUP(Posuv!$M$35,Ceny!$B$6:$R$44,17,0))=2,$AC40,$AB40))</f>
        <v/>
      </c>
      <c r="AB40" s="1" t="e">
        <v>#REF!</v>
      </c>
      <c r="AC40" s="1" t="str">
        <f>Ceny_n!B94</f>
        <v>Lacobel REF 0667</v>
      </c>
    </row>
    <row r="41" spans="2:29">
      <c r="W41" s="1" t="e">
        <f>Ceny_n!#REF!</f>
        <v>#REF!</v>
      </c>
      <c r="X41" s="1" t="str">
        <f>IF(Posuv!$E$35=0,"",IF((VLOOKUP(Posuv!$E$35,Ceny!$B$6:$R$44,17,0))=2,$AC41,$AB41))</f>
        <v/>
      </c>
      <c r="Y41" s="1" t="str">
        <f>IF(Posuv!$I$35=0,"",IF((VLOOKUP(Posuv!$I$35,Ceny!$B$6:$R$44,17,0))=2,$AC41,$AB41))</f>
        <v/>
      </c>
      <c r="Z41" s="1" t="str">
        <f>IF(Posuv!$M$35=0,"",IF((VLOOKUP(Posuv!$M$35,Ceny!$B$6:$R$44,17,0))=2,$AC41,$AB41))</f>
        <v/>
      </c>
      <c r="AB41" s="1" t="e">
        <v>#REF!</v>
      </c>
      <c r="AC41" s="1" t="str">
        <f>Ceny_n!B95</f>
        <v>Lacobel REF 1164</v>
      </c>
    </row>
    <row r="42" spans="2:29">
      <c r="W42" s="1" t="str">
        <f>Ceny_n!B34</f>
        <v>Siena (elox.)</v>
      </c>
      <c r="X42" s="1" t="str">
        <f>IF(Posuv!$E$35=0,"",IF((VLOOKUP(Posuv!$E$35,Ceny!$B$6:$R$44,17,0))=2,$AC42,$AB42))</f>
        <v/>
      </c>
      <c r="Y42" s="1" t="str">
        <f>IF(Posuv!$I$35=0,"",IF((VLOOKUP(Posuv!$I$35,Ceny!$B$6:$R$44,17,0))=2,$AC42,$AB42))</f>
        <v/>
      </c>
      <c r="Z42" s="1" t="str">
        <f>IF(Posuv!$M$35=0,"",IF((VLOOKUP(Posuv!$M$35,Ceny!$B$6:$R$44,17,0))=2,$AC42,$AB42))</f>
        <v/>
      </c>
      <c r="AB42" s="1" t="e">
        <v>#REF!</v>
      </c>
      <c r="AC42" s="1" t="str">
        <f>Ceny_n!B96</f>
        <v>Lacobel REF 1236</v>
      </c>
    </row>
    <row r="43" spans="2:29">
      <c r="W43" s="1" t="str">
        <f>Ceny_n!B35</f>
        <v>Verona (elox.)</v>
      </c>
      <c r="X43" s="1" t="str">
        <f>IF(Posuv!$E$35=0,"",IF((VLOOKUP(Posuv!$E$35,Ceny!$B$6:$R$44,17,0))=2,$AC43,$AB43))</f>
        <v/>
      </c>
      <c r="Y43" s="1" t="str">
        <f>IF(Posuv!$I$35=0,"",IF((VLOOKUP(Posuv!$I$35,Ceny!$B$6:$R$44,17,0))=2,$AC43,$AB43))</f>
        <v/>
      </c>
      <c r="Z43" s="1" t="str">
        <f>IF(Posuv!$M$35=0,"",IF((VLOOKUP(Posuv!$M$35,Ceny!$B$6:$R$44,17,0))=2,$AC43,$AB43))</f>
        <v/>
      </c>
      <c r="AB43" s="1" t="e">
        <v>#REF!</v>
      </c>
      <c r="AC43" s="1" t="str">
        <f>Ceny_n!B97</f>
        <v>Lacobel REF 1435</v>
      </c>
    </row>
    <row r="44" spans="2:29">
      <c r="W44" s="1" t="str">
        <f>Ceny_n!B36</f>
        <v>Verona broušený hliník</v>
      </c>
      <c r="X44" s="1" t="str">
        <f>IF(Posuv!$E$35=0,"",IF((VLOOKUP(Posuv!$E$35,Ceny!$B$6:$R$44,17,0))=2,$AC44,$AB44))</f>
        <v/>
      </c>
      <c r="Y44" s="1" t="str">
        <f>IF(Posuv!$I$35=0,"",IF((VLOOKUP(Posuv!$I$35,Ceny!$B$6:$R$44,17,0))=2,$AC44,$AB44))</f>
        <v/>
      </c>
      <c r="Z44" s="1" t="str">
        <f>IF(Posuv!$M$35=0,"",IF((VLOOKUP(Posuv!$M$35,Ceny!$B$6:$R$44,17,0))=2,$AC44,$AB44))</f>
        <v/>
      </c>
      <c r="AB44" s="1" t="e">
        <v>#REF!</v>
      </c>
      <c r="AC44" s="1" t="str">
        <f>Ceny_n!B98</f>
        <v>Lacobel REF 1586</v>
      </c>
    </row>
    <row r="45" spans="2:29">
      <c r="W45" s="1" t="str">
        <f>Ceny_n!B37</f>
        <v>Verona černá lesk</v>
      </c>
      <c r="X45" s="1" t="str">
        <f>IF(Posuv!$E$35=0,"",IF((VLOOKUP(Posuv!$E$35,Ceny!$B$6:$R$44,17,0))=2,$AC45,$AB45))</f>
        <v/>
      </c>
      <c r="Y45" s="1" t="str">
        <f>IF(Posuv!$I$35=0,"",IF((VLOOKUP(Posuv!$I$35,Ceny!$B$6:$R$44,17,0))=2,$AC45,$AB45))</f>
        <v/>
      </c>
      <c r="Z45" s="1" t="str">
        <f>IF(Posuv!$M$35=0,"",IF((VLOOKUP(Posuv!$M$35,Ceny!$B$6:$R$44,17,0))=2,$AC45,$AB45))</f>
        <v/>
      </c>
      <c r="AB45" s="1" t="e">
        <v>#REF!</v>
      </c>
      <c r="AC45" s="1" t="str">
        <f>Ceny_n!B99</f>
        <v>Lacobel REF 1603</v>
      </c>
    </row>
    <row r="46" spans="2:29">
      <c r="W46" s="1" t="str">
        <f>Ceny_n!B39</f>
        <v>Verona hnědá</v>
      </c>
      <c r="X46" s="1" t="str">
        <f>IF(Posuv!$E$35=0,"",IF((VLOOKUP(Posuv!$E$35,Ceny!$B$6:$R$44,17,0))=2,$AC46,$AB46))</f>
        <v/>
      </c>
      <c r="Y46" s="1" t="str">
        <f>IF(Posuv!$I$35=0,"",IF((VLOOKUP(Posuv!$I$35,Ceny!$B$6:$R$44,17,0))=2,$AC46,$AB46))</f>
        <v/>
      </c>
      <c r="Z46" s="1" t="str">
        <f>IF(Posuv!$M$35=0,"",IF((VLOOKUP(Posuv!$M$35,Ceny!$B$6:$R$44,17,0))=2,$AC46,$AB46))</f>
        <v/>
      </c>
      <c r="AB46" s="1" t="e">
        <v>#REF!</v>
      </c>
      <c r="AC46" s="1" t="str">
        <f>Ceny_n!B100</f>
        <v>Lacobel REF 1604</v>
      </c>
    </row>
    <row r="47" spans="2:29">
      <c r="W47" s="1" t="str">
        <f>Ceny_n!B40</f>
        <v>Verona champagne</v>
      </c>
      <c r="X47" s="1" t="str">
        <f>IF(Posuv!$E$35=0,"",IF((VLOOKUP(Posuv!$E$35,Ceny!$B$6:$R$44,17,0))=2,$AC47,$AB47))</f>
        <v/>
      </c>
      <c r="Y47" s="1" t="str">
        <f>IF(Posuv!$I$35=0,"",IF((VLOOKUP(Posuv!$I$35,Ceny!$B$6:$R$44,17,0))=2,$AC47,$AB47))</f>
        <v/>
      </c>
      <c r="Z47" s="1" t="str">
        <f>IF(Posuv!$M$35=0,"",IF((VLOOKUP(Posuv!$M$35,Ceny!$B$6:$R$44,17,0))=2,$AC47,$AB47))</f>
        <v/>
      </c>
      <c r="AB47" s="1" t="e">
        <v>#REF!</v>
      </c>
      <c r="AC47" s="1" t="str">
        <f>Ceny_n!B101</f>
        <v>Matelac RAL 2001</v>
      </c>
    </row>
    <row r="48" spans="2:29">
      <c r="W48" s="1" t="str">
        <f>Ceny_n!B41</f>
        <v>Verona tmavá nerez broušená</v>
      </c>
      <c r="X48" s="1" t="str">
        <f>IF(Posuv!$E$35=0,"",IF((VLOOKUP(Posuv!$E$35,Ceny!$B$6:$R$44,17,0))=2,$AC48,$AB48))</f>
        <v/>
      </c>
      <c r="Y48" s="1" t="str">
        <f>IF(Posuv!$I$35=0,"",IF((VLOOKUP(Posuv!$I$35,Ceny!$B$6:$R$44,17,0))=2,$AC48,$AB48))</f>
        <v/>
      </c>
      <c r="Z48" s="1" t="str">
        <f>IF(Posuv!$M$35=0,"",IF((VLOOKUP(Posuv!$M$35,Ceny!$B$6:$R$44,17,0))=2,$AC48,$AB48))</f>
        <v/>
      </c>
      <c r="AB48" s="1" t="e">
        <v>#REF!</v>
      </c>
      <c r="AC48" s="1" t="str">
        <f>Ceny_n!B102</f>
        <v>Matelac RAL 3004</v>
      </c>
    </row>
    <row r="49" spans="23:29">
      <c r="W49" s="1" t="str">
        <f>Ceny_n!B42</f>
        <v>Verona světlá nerez (Acier grata)</v>
      </c>
      <c r="X49" s="1" t="str">
        <f>IF(Posuv!$E$35=0,"",IF((VLOOKUP(Posuv!$E$35,Ceny!$B$6:$R$44,17,0))=2,$AC49,$AB49))</f>
        <v/>
      </c>
      <c r="Y49" s="1" t="str">
        <f>IF(Posuv!$I$35=0,"",IF((VLOOKUP(Posuv!$I$35,Ceny!$B$6:$R$44,17,0))=2,$AC49,$AB49))</f>
        <v/>
      </c>
      <c r="Z49" s="1" t="str">
        <f>IF(Posuv!$M$35=0,"",IF((VLOOKUP(Posuv!$M$35,Ceny!$B$6:$R$44,17,0))=2,$AC49,$AB49))</f>
        <v/>
      </c>
      <c r="AB49" s="1" t="e">
        <v>#REF!</v>
      </c>
      <c r="AC49" s="1" t="str">
        <f>Ceny_n!B103</f>
        <v>Matelac RAL 7021</v>
      </c>
    </row>
    <row r="50" spans="23:29">
      <c r="W50" s="1" t="str">
        <f>Ceny_n!B43</f>
        <v>Vivaro (elox.)</v>
      </c>
      <c r="X50" s="1" t="str">
        <f>IF(Posuv!$E$35=0,"",IF((VLOOKUP(Posuv!$E$35,Ceny!$B$6:$R$44,17,0))=2,$AC50,$AB50))</f>
        <v/>
      </c>
      <c r="Y50" s="1" t="str">
        <f>IF(Posuv!$I$35=0,"",IF((VLOOKUP(Posuv!$I$35,Ceny!$B$6:$R$44,17,0))=2,$AC50,$AB50))</f>
        <v/>
      </c>
      <c r="Z50" s="1" t="str">
        <f>IF(Posuv!$M$35=0,"",IF((VLOOKUP(Posuv!$M$35,Ceny!$B$6:$R$44,17,0))=2,$AC50,$AB50))</f>
        <v/>
      </c>
      <c r="AB50" s="1" t="e">
        <v>#REF!</v>
      </c>
      <c r="AC50" s="1" t="str">
        <f>Ceny_n!B104</f>
        <v>Matelac RAL 9003</v>
      </c>
    </row>
    <row r="51" spans="23:29">
      <c r="W51" s="1" t="str">
        <f>Ceny_n!B44</f>
        <v>Vivaro černá mat</v>
      </c>
      <c r="X51" s="1" t="str">
        <f>IF(Posuv!$E$35=0,"",IF((VLOOKUP(Posuv!$E$35,Ceny!$B$6:$R$44,17,0))=2,$AC51,$AB51))</f>
        <v/>
      </c>
      <c r="Y51" s="1" t="str">
        <f>IF(Posuv!$I$35=0,"",IF((VLOOKUP(Posuv!$I$35,Ceny!$B$6:$R$44,17,0))=2,$AC51,$AB51))</f>
        <v/>
      </c>
      <c r="Z51" s="1" t="str">
        <f>IF(Posuv!$M$35=0,"",IF((VLOOKUP(Posuv!$M$35,Ceny!$B$6:$R$44,17,0))=2,$AC51,$AB51))</f>
        <v/>
      </c>
      <c r="AB51" s="1" t="e">
        <v>#REF!</v>
      </c>
      <c r="AC51" s="1" t="str">
        <f>Ceny_n!B105</f>
        <v>Matelac RAL 9005</v>
      </c>
    </row>
    <row r="52" spans="23:29">
      <c r="X52" s="1" t="str">
        <f>IF(Posuv!$E$35=0,"",IF((VLOOKUP(Posuv!$E$35,Ceny!$B$6:$R$44,17,0))=2,$AC52,$AB52))</f>
        <v/>
      </c>
      <c r="Y52" s="1" t="str">
        <f>IF(Posuv!$I$35=0,"",IF((VLOOKUP(Posuv!$I$35,Ceny!$B$6:$R$44,17,0))=2,$AC52,$AB52))</f>
        <v/>
      </c>
      <c r="Z52" s="1" t="str">
        <f>IF(Posuv!$M$35=0,"",IF((VLOOKUP(Posuv!$M$35,Ceny!$B$6:$R$44,17,0))=2,$AC52,$AB52))</f>
        <v/>
      </c>
      <c r="AB52" s="1" t="e">
        <v>#REF!</v>
      </c>
      <c r="AC52" s="1" t="str">
        <f>Ceny_n!B106</f>
        <v>Matelac RAL 9006</v>
      </c>
    </row>
    <row r="53" spans="23:29">
      <c r="X53" s="1" t="str">
        <f>IF(Posuv!$E$35=0,"",IF((VLOOKUP(Posuv!$E$35,Ceny!$B$6:$R$44,17,0))=2,$AC53,$AB53))</f>
        <v/>
      </c>
      <c r="Y53" s="1" t="str">
        <f>IF(Posuv!$I$35=0,"",IF((VLOOKUP(Posuv!$I$35,Ceny!$B$6:$R$44,17,0))=2,$AC53,$AB53))</f>
        <v/>
      </c>
      <c r="Z53" s="1" t="str">
        <f>IF(Posuv!$M$35=0,"",IF((VLOOKUP(Posuv!$M$35,Ceny!$B$6:$R$44,17,0))=2,$AC53,$AB53))</f>
        <v/>
      </c>
      <c r="AB53" s="1" t="e">
        <v>#REF!</v>
      </c>
      <c r="AC53" s="1" t="str">
        <f>Ceny_n!B107</f>
        <v>Matelac RAL 9010</v>
      </c>
    </row>
    <row r="54" spans="23:29">
      <c r="X54" s="1" t="str">
        <f>IF(Posuv!$E$35=0,"",IF((VLOOKUP(Posuv!$E$35,Ceny!$B$6:$R$44,17,0))=2,$AC54,$AB54))</f>
        <v/>
      </c>
      <c r="Y54" s="1" t="str">
        <f>IF(Posuv!$I$35=0,"",IF((VLOOKUP(Posuv!$I$35,Ceny!$B$6:$R$44,17,0))=2,$AC54,$AB54))</f>
        <v/>
      </c>
      <c r="Z54" s="1" t="str">
        <f>IF(Posuv!$M$35=0,"",IF((VLOOKUP(Posuv!$M$35,Ceny!$B$6:$R$44,17,0))=2,$AC54,$AB54))</f>
        <v/>
      </c>
      <c r="AB54" s="1" t="e">
        <v>#REF!</v>
      </c>
      <c r="AC54" s="1">
        <f>Ceny_n!B118</f>
        <v>0</v>
      </c>
    </row>
    <row r="55" spans="23:29">
      <c r="X55" s="1" t="str">
        <f>IF(Posuv!$E$35=0,"",IF((VLOOKUP(Posuv!$E$35,Ceny!$B$6:$R$44,17,0))=2,$AC55,$AB55))</f>
        <v/>
      </c>
      <c r="Y55" s="1" t="str">
        <f>IF(Posuv!$I$35=0,"",IF((VLOOKUP(Posuv!$I$35,Ceny!$B$6:$R$44,17,0))=2,$AC55,$AB55))</f>
        <v/>
      </c>
      <c r="Z55" s="1" t="str">
        <f>IF(Posuv!$M$35=0,"",IF((VLOOKUP(Posuv!$M$35,Ceny!$B$6:$R$44,17,0))=2,$AC55,$AB55))</f>
        <v/>
      </c>
      <c r="AB55" s="1" t="e">
        <v>#REF!</v>
      </c>
      <c r="AC55" s="1" t="s">
        <v>677</v>
      </c>
    </row>
    <row r="56" spans="23:29">
      <c r="X56" s="1" t="str">
        <f>IF(Posuv!$E$35=0,"",IF((VLOOKUP(Posuv!$E$35,Ceny!$B$6:$R$44,17,0))=2,$AC56,$AB56))</f>
        <v/>
      </c>
      <c r="Y56" s="1" t="str">
        <f>IF(Posuv!$I$35=0,"",IF((VLOOKUP(Posuv!$I$35,Ceny!$B$6:$R$44,17,0))=2,$AC56,$AB56))</f>
        <v/>
      </c>
      <c r="Z56" s="1" t="str">
        <f>IF(Posuv!$M$35=0,"",IF((VLOOKUP(Posuv!$M$35,Ceny!$B$6:$R$44,17,0))=2,$AC56,$AB56))</f>
        <v/>
      </c>
      <c r="AB56" s="1" t="e">
        <v>#REF!</v>
      </c>
      <c r="AC56" s="1" t="s">
        <v>677</v>
      </c>
    </row>
    <row r="57" spans="23:29">
      <c r="X57" s="1" t="str">
        <f>IF(Posuv!$E$35=0,"",IF((VLOOKUP(Posuv!$E$35,Ceny!$B$6:$R$44,17,0))=2,$AC57,$AB57))</f>
        <v/>
      </c>
      <c r="Y57" s="1" t="str">
        <f>IF(Posuv!$I$35=0,"",IF((VLOOKUP(Posuv!$I$35,Ceny!$B$6:$R$44,17,0))=2,$AC57,$AB57))</f>
        <v/>
      </c>
      <c r="Z57" s="1" t="str">
        <f>IF(Posuv!$M$35=0,"",IF((VLOOKUP(Posuv!$M$35,Ceny!$B$6:$R$44,17,0))=2,$AC57,$AB57))</f>
        <v/>
      </c>
      <c r="AB57" s="1" t="e">
        <v>#REF!</v>
      </c>
      <c r="AC57" s="1" t="s">
        <v>677</v>
      </c>
    </row>
    <row r="58" spans="23:29">
      <c r="X58" s="1" t="str">
        <f>IF(Posuv!$E$35=0,"",IF((VLOOKUP(Posuv!$E$35,Ceny!$B$6:$R$44,17,0))=2,$AC58,$AB58))</f>
        <v/>
      </c>
      <c r="Y58" s="1" t="str">
        <f>IF(Posuv!$I$35=0,"",IF((VLOOKUP(Posuv!$I$35,Ceny!$B$6:$R$44,17,0))=2,$AC58,$AB58))</f>
        <v/>
      </c>
      <c r="Z58" s="1" t="str">
        <f>IF(Posuv!$M$35=0,"",IF((VLOOKUP(Posuv!$M$35,Ceny!$B$6:$R$44,17,0))=2,$AC58,$AB58))</f>
        <v/>
      </c>
      <c r="AB58" s="1" t="e">
        <v>#REF!</v>
      </c>
      <c r="AC58" s="1" t="s">
        <v>677</v>
      </c>
    </row>
    <row r="59" spans="23:29">
      <c r="X59" s="1" t="str">
        <f>IF(Posuv!$E$35=0,"",IF((VLOOKUP(Posuv!$E$35,Ceny!$B$6:$R$44,17,0))=2,$AC59,$AB59))</f>
        <v/>
      </c>
      <c r="Y59" s="1" t="str">
        <f>IF(Posuv!$I$35=0,"",IF((VLOOKUP(Posuv!$I$35,Ceny!$B$6:$R$44,17,0))=2,$AC59,$AB59))</f>
        <v/>
      </c>
      <c r="Z59" s="1" t="str">
        <f>IF(Posuv!$M$35=0,"",IF((VLOOKUP(Posuv!$M$35,Ceny!$B$6:$R$44,17,0))=2,$AC59,$AB59))</f>
        <v/>
      </c>
      <c r="AB59" s="1" t="e">
        <v>#REF!</v>
      </c>
      <c r="AC59" s="1" t="s">
        <v>677</v>
      </c>
    </row>
    <row r="60" spans="23:29">
      <c r="X60" s="1" t="str">
        <f>IF(Posuv!$E$35=0,"",IF((VLOOKUP(Posuv!$E$35,Ceny!$B$6:$R$44,17,0))=2,$AC60,$AB60))</f>
        <v/>
      </c>
      <c r="Y60" s="1" t="str">
        <f>IF(Posuv!$I$35=0,"",IF((VLOOKUP(Posuv!$I$35,Ceny!$B$6:$R$44,17,0))=2,$AC60,$AB60))</f>
        <v/>
      </c>
      <c r="Z60" s="1" t="str">
        <f>IF(Posuv!$M$35=0,"",IF((VLOOKUP(Posuv!$M$35,Ceny!$B$6:$R$44,17,0))=2,$AC60,$AB60))</f>
        <v/>
      </c>
      <c r="AB60" s="1" t="e">
        <v>#REF!</v>
      </c>
      <c r="AC60" s="1" t="s">
        <v>677</v>
      </c>
    </row>
    <row r="61" spans="23:29">
      <c r="X61" s="1" t="str">
        <f>IF(Posuv!$E$35=0,"",IF((VLOOKUP(Posuv!$E$35,Ceny!$B$6:$R$44,17,0))=2,$AC61,$AB61))</f>
        <v/>
      </c>
      <c r="Y61" s="1" t="str">
        <f>IF(Posuv!$I$35=0,"",IF((VLOOKUP(Posuv!$I$35,Ceny!$B$6:$R$44,17,0))=2,$AC61,$AB61))</f>
        <v/>
      </c>
      <c r="Z61" s="1" t="str">
        <f>IF(Posuv!$M$35=0,"",IF((VLOOKUP(Posuv!$M$35,Ceny!$B$6:$R$44,17,0))=2,$AC61,$AB61))</f>
        <v/>
      </c>
      <c r="AB61" s="1" t="e">
        <v>#REF!</v>
      </c>
      <c r="AC61" s="1" t="s">
        <v>677</v>
      </c>
    </row>
    <row r="62" spans="23:29">
      <c r="X62" s="1" t="str">
        <f>IF(Posuv!$E$35=0,"",IF((VLOOKUP(Posuv!$E$35,Ceny!$B$6:$R$44,17,0))=2,$AC62,$AB62))</f>
        <v/>
      </c>
      <c r="Y62" s="1" t="str">
        <f>IF(Posuv!$I$35=0,"",IF((VLOOKUP(Posuv!$I$35,Ceny!$B$6:$R$44,17,0))=2,$AC62,$AB62))</f>
        <v/>
      </c>
      <c r="Z62" s="1" t="str">
        <f>IF(Posuv!$M$35=0,"",IF((VLOOKUP(Posuv!$M$35,Ceny!$B$6:$R$44,17,0))=2,$AC62,$AB62))</f>
        <v/>
      </c>
      <c r="AB62" s="1" t="e">
        <v>#REF!</v>
      </c>
      <c r="AC62" s="1" t="s">
        <v>677</v>
      </c>
    </row>
    <row r="63" spans="23:29">
      <c r="X63" s="1" t="str">
        <f>IF(Posuv!$E$35=0,"",IF((VLOOKUP(Posuv!$E$35,Ceny!$B$6:$R$44,17,0))=2,$AC63,$AB63))</f>
        <v/>
      </c>
      <c r="Y63" s="1" t="str">
        <f>IF(Posuv!$I$35=0,"",IF((VLOOKUP(Posuv!$I$35,Ceny!$B$6:$R$44,17,0))=2,$AC63,$AB63))</f>
        <v/>
      </c>
      <c r="Z63" s="1" t="str">
        <f>IF(Posuv!$M$35=0,"",IF((VLOOKUP(Posuv!$M$35,Ceny!$B$6:$R$44,17,0))=2,$AC63,$AB63))</f>
        <v/>
      </c>
      <c r="AB63" s="1" t="e">
        <v>#REF!</v>
      </c>
      <c r="AC63" s="1" t="s">
        <v>677</v>
      </c>
    </row>
    <row r="64" spans="23:29">
      <c r="X64" s="1" t="str">
        <f>IF(Posuv!$E$35=0,"",IF((VLOOKUP(Posuv!$E$35,Ceny!$B$6:$R$44,17,0))=2,$AC64,$AB64))</f>
        <v/>
      </c>
      <c r="Y64" s="1" t="str">
        <f>IF(Posuv!$I$35=0,"",IF((VLOOKUP(Posuv!$I$35,Ceny!$B$6:$R$44,17,0))=2,$AC64,$AB64))</f>
        <v/>
      </c>
      <c r="Z64" s="1" t="str">
        <f>IF(Posuv!$M$35=0,"",IF((VLOOKUP(Posuv!$M$35,Ceny!$B$6:$R$44,17,0))=2,$AC64,$AB64))</f>
        <v/>
      </c>
      <c r="AB64" s="1" t="e">
        <v>#REF!</v>
      </c>
      <c r="AC64" s="1" t="s">
        <v>677</v>
      </c>
    </row>
    <row r="65" spans="24:29">
      <c r="X65" s="1" t="str">
        <f>IF(Posuv!$E$35=0,"",IF((VLOOKUP(Posuv!$E$35,Ceny!$B$6:$R$44,17,0))=2,$AC65,$AB65))</f>
        <v/>
      </c>
      <c r="Y65" s="1" t="str">
        <f>IF(Posuv!$I$35=0,"",IF((VLOOKUP(Posuv!$I$35,Ceny!$B$6:$R$44,17,0))=2,$AC65,$AB65))</f>
        <v/>
      </c>
      <c r="Z65" s="1" t="str">
        <f>IF(Posuv!$M$35=0,"",IF((VLOOKUP(Posuv!$M$35,Ceny!$B$6:$R$44,17,0))=2,$AC65,$AB65))</f>
        <v/>
      </c>
      <c r="AB65" s="1" t="e">
        <v>#REF!</v>
      </c>
      <c r="AC65" s="1" t="s">
        <v>677</v>
      </c>
    </row>
    <row r="66" spans="24:29">
      <c r="X66" s="1" t="str">
        <f>IF(Posuv!$E$35=0,"",IF((VLOOKUP(Posuv!$E$35,Ceny!$B$6:$R$44,17,0))=2,$AC66,$AB66))</f>
        <v/>
      </c>
      <c r="Y66" s="1" t="str">
        <f>IF(Posuv!$I$35=0,"",IF((VLOOKUP(Posuv!$I$35,Ceny!$B$6:$R$44,17,0))=2,$AC66,$AB66))</f>
        <v/>
      </c>
      <c r="Z66" s="1" t="str">
        <f>IF(Posuv!$M$35=0,"",IF((VLOOKUP(Posuv!$M$35,Ceny!$B$6:$R$44,17,0))=2,$AC66,$AB66))</f>
        <v/>
      </c>
      <c r="AB66" s="1" t="e">
        <v>#REF!</v>
      </c>
      <c r="AC66" s="1" t="s">
        <v>677</v>
      </c>
    </row>
    <row r="67" spans="24:29">
      <c r="X67" s="1" t="str">
        <f>IF(Posuv!$E$35=0,"",IF((VLOOKUP(Posuv!$E$35,Ceny!$B$6:$R$44,17,0))=2,$AC67,$AB67))</f>
        <v/>
      </c>
      <c r="Y67" s="1" t="str">
        <f>IF(Posuv!$I$35=0,"",IF((VLOOKUP(Posuv!$I$35,Ceny!$B$6:$R$44,17,0))=2,$AC67,$AB67))</f>
        <v/>
      </c>
      <c r="Z67" s="1" t="str">
        <f>IF(Posuv!$M$35=0,"",IF((VLOOKUP(Posuv!$M$35,Ceny!$B$6:$R$44,17,0))=2,$AC67,$AB67))</f>
        <v/>
      </c>
      <c r="AB67" s="1" t="e">
        <v>#REF!</v>
      </c>
      <c r="AC67" s="1" t="s">
        <v>677</v>
      </c>
    </row>
    <row r="68" spans="24:29">
      <c r="X68" s="1" t="str">
        <f>IF(Posuv!$E$35=0,"",IF((VLOOKUP(Posuv!$E$35,Ceny!$B$6:$R$44,17,0))=2,$AC68,$AB68))</f>
        <v/>
      </c>
      <c r="Y68" s="1" t="str">
        <f>IF(Posuv!$I$35=0,"",IF((VLOOKUP(Posuv!$I$35,Ceny!$B$6:$R$44,17,0))=2,$AC68,$AB68))</f>
        <v/>
      </c>
      <c r="Z68" s="1" t="str">
        <f>IF(Posuv!$M$35=0,"",IF((VLOOKUP(Posuv!$M$35,Ceny!$B$6:$R$44,17,0))=2,$AC68,$AB68))</f>
        <v/>
      </c>
      <c r="AB68" s="1" t="e">
        <v>#REF!</v>
      </c>
      <c r="AC68" s="1" t="s">
        <v>677</v>
      </c>
    </row>
    <row r="69" spans="24:29">
      <c r="X69" s="1" t="str">
        <f>IF(Posuv!$E$35=0,"",IF((VLOOKUP(Posuv!$E$35,Ceny!$B$6:$R$44,17,0))=2,$AC69,$AB69))</f>
        <v/>
      </c>
      <c r="Y69" s="1" t="str">
        <f>IF(Posuv!$I$35=0,"",IF((VLOOKUP(Posuv!$I$35,Ceny!$B$6:$R$44,17,0))=2,$AC69,$AB69))</f>
        <v/>
      </c>
      <c r="Z69" s="1" t="str">
        <f>IF(Posuv!$M$35=0,"",IF((VLOOKUP(Posuv!$M$35,Ceny!$B$6:$R$44,17,0))=2,$AC69,$AB69))</f>
        <v/>
      </c>
      <c r="AB69" s="1" t="e">
        <v>#REF!</v>
      </c>
      <c r="AC69" s="1" t="s">
        <v>677</v>
      </c>
    </row>
    <row r="70" spans="24:29">
      <c r="AB70" s="1" t="e">
        <v>#REF!</v>
      </c>
    </row>
    <row r="71" spans="24:29">
      <c r="AB71" s="1" t="e">
        <v>#REF!</v>
      </c>
    </row>
    <row r="72" spans="24:29">
      <c r="AB72" s="1" t="e">
        <v>#REF!</v>
      </c>
    </row>
    <row r="73" spans="24:29">
      <c r="AB73" s="1" t="e">
        <v>#REF!</v>
      </c>
    </row>
    <row r="74" spans="24:29">
      <c r="AB74" s="1" t="e">
        <v>#REF!</v>
      </c>
    </row>
    <row r="75" spans="24:29">
      <c r="AB75" s="1" t="e">
        <v>#REF!</v>
      </c>
    </row>
    <row r="76" spans="24:29">
      <c r="AB76" s="1" t="e">
        <v>#REF!</v>
      </c>
    </row>
    <row r="77" spans="24:29">
      <c r="AB77" s="1" t="e">
        <v>#REF!</v>
      </c>
    </row>
    <row r="78" spans="24:29">
      <c r="AB78" s="1" t="e">
        <v>#REF!</v>
      </c>
    </row>
    <row r="79" spans="24:29">
      <c r="AB79" s="1" t="e">
        <v>#REF!</v>
      </c>
    </row>
  </sheetData>
  <sheetProtection password="993C" sheet="1" objects="1" scenarios="1"/>
  <mergeCells count="13">
    <mergeCell ref="AB13:AC15"/>
    <mergeCell ref="B38:L38"/>
    <mergeCell ref="B2:L2"/>
    <mergeCell ref="B5:L5"/>
    <mergeCell ref="B7:L7"/>
    <mergeCell ref="B36:D37"/>
    <mergeCell ref="E36:L37"/>
    <mergeCell ref="B3:G3"/>
    <mergeCell ref="K21:L21"/>
    <mergeCell ref="B16:B17"/>
    <mergeCell ref="D22:L22"/>
    <mergeCell ref="B6:L6"/>
    <mergeCell ref="C16:F16"/>
  </mergeCells>
  <phoneticPr fontId="4" type="noConversion"/>
  <hyperlinks>
    <hyperlink ref="B38" r:id="rId1" xr:uid="{699309D1-31BC-43CD-93BF-CA4436EE0240}"/>
  </hyperlinks>
  <pageMargins left="0.70866141732283472" right="0.70866141732283472" top="0.78740157480314965" bottom="0.78740157480314965" header="0.31496062992125984" footer="0.31496062992125984"/>
  <pageSetup paperSize="9" scale="51" orientation="portrait"/>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election activeCell="D12" sqref="D12"/>
    </sheetView>
  </sheetViews>
  <sheetFormatPr defaultRowHeight="15"/>
  <cols>
    <col min="1" max="1" width="32.42578125" customWidth="1"/>
    <col min="3" max="3" width="7" bestFit="1" customWidth="1"/>
    <col min="4" max="4" width="70.42578125" style="12" bestFit="1" customWidth="1"/>
    <col min="5" max="5" width="70.42578125" style="1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59" customFormat="1">
      <c r="A1" s="159" t="s">
        <v>1433</v>
      </c>
      <c r="B1" s="159" t="s">
        <v>1434</v>
      </c>
      <c r="C1" s="159" t="s">
        <v>131</v>
      </c>
      <c r="D1" s="249" t="s">
        <v>33</v>
      </c>
      <c r="E1" s="249"/>
      <c r="F1" s="159" t="s">
        <v>1435</v>
      </c>
      <c r="G1" s="159" t="s">
        <v>1436</v>
      </c>
      <c r="H1" s="159" t="s">
        <v>1437</v>
      </c>
      <c r="I1" s="159" t="s">
        <v>1438</v>
      </c>
      <c r="J1" s="159" t="s">
        <v>1439</v>
      </c>
      <c r="K1" s="159" t="s">
        <v>1440</v>
      </c>
      <c r="L1" s="159" t="s">
        <v>1441</v>
      </c>
      <c r="M1" s="159" t="s">
        <v>1442</v>
      </c>
      <c r="N1" s="159" t="s">
        <v>1440</v>
      </c>
      <c r="O1" s="159" t="s">
        <v>1441</v>
      </c>
      <c r="P1" s="159" t="s">
        <v>1442</v>
      </c>
      <c r="Q1" s="159" t="s">
        <v>1440</v>
      </c>
      <c r="R1" s="159" t="s">
        <v>1441</v>
      </c>
      <c r="S1" s="159" t="s">
        <v>1442</v>
      </c>
      <c r="T1" s="159" t="s">
        <v>1440</v>
      </c>
      <c r="U1" s="159" t="s">
        <v>1441</v>
      </c>
      <c r="V1" s="159" t="s">
        <v>1442</v>
      </c>
      <c r="W1" s="159" t="s">
        <v>1440</v>
      </c>
      <c r="X1" s="159" t="s">
        <v>1441</v>
      </c>
      <c r="Y1" s="159" t="s">
        <v>1442</v>
      </c>
      <c r="Z1" s="159" t="s">
        <v>1440</v>
      </c>
      <c r="AA1" s="159" t="s">
        <v>1441</v>
      </c>
      <c r="AB1" s="159" t="s">
        <v>1442</v>
      </c>
      <c r="AC1" s="159">
        <v>16</v>
      </c>
    </row>
    <row r="2" spans="1:36">
      <c r="B2" t="s">
        <v>110</v>
      </c>
      <c r="C2">
        <v>92584</v>
      </c>
      <c r="D2" s="12" t="s">
        <v>1443</v>
      </c>
      <c r="E2" s="12" t="e">
        <f>VLOOKUP(C:C,#REF!,1,FALSE)</f>
        <v>#REF!</v>
      </c>
      <c r="F2" t="s">
        <v>1429</v>
      </c>
      <c r="K2">
        <v>92598</v>
      </c>
      <c r="L2" t="s">
        <v>1017</v>
      </c>
      <c r="M2" t="s">
        <v>1431</v>
      </c>
      <c r="N2">
        <v>92597</v>
      </c>
      <c r="O2" t="s">
        <v>1018</v>
      </c>
      <c r="P2" t="s">
        <v>1431</v>
      </c>
      <c r="Q2">
        <v>92598</v>
      </c>
      <c r="R2" t="s">
        <v>1019</v>
      </c>
      <c r="S2" t="s">
        <v>1431</v>
      </c>
      <c r="T2">
        <v>92599</v>
      </c>
      <c r="U2" t="s">
        <v>1020</v>
      </c>
      <c r="V2" t="s">
        <v>1431</v>
      </c>
      <c r="W2">
        <v>0</v>
      </c>
      <c r="X2">
        <v>0</v>
      </c>
      <c r="Y2" t="e">
        <v>#N/A</v>
      </c>
      <c r="Z2">
        <v>0</v>
      </c>
      <c r="AA2">
        <v>0</v>
      </c>
      <c r="AB2" t="e">
        <v>#N/A</v>
      </c>
      <c r="AC2" t="s">
        <v>1215</v>
      </c>
      <c r="AE2">
        <f>K:K</f>
        <v>92598</v>
      </c>
      <c r="AF2">
        <f>N:N</f>
        <v>92597</v>
      </c>
      <c r="AG2">
        <f>Q:Q</f>
        <v>92598</v>
      </c>
      <c r="AH2">
        <f>T:T</f>
        <v>92599</v>
      </c>
      <c r="AI2">
        <f>W:W</f>
        <v>0</v>
      </c>
      <c r="AJ2">
        <f>Z:Z</f>
        <v>0</v>
      </c>
    </row>
    <row r="3" spans="1:36">
      <c r="B3" t="s">
        <v>110</v>
      </c>
      <c r="C3">
        <v>92585</v>
      </c>
      <c r="D3" s="12" t="s">
        <v>1444</v>
      </c>
      <c r="E3" s="12" t="e">
        <f>VLOOKUP(C:C,#REF!,1,FALSE)</f>
        <v>#REF!</v>
      </c>
      <c r="F3" t="s">
        <v>1429</v>
      </c>
      <c r="K3">
        <v>92596</v>
      </c>
      <c r="L3" t="s">
        <v>1017</v>
      </c>
      <c r="M3" t="s">
        <v>1431</v>
      </c>
      <c r="N3">
        <v>92597</v>
      </c>
      <c r="O3" t="s">
        <v>1018</v>
      </c>
      <c r="P3" t="s">
        <v>1431</v>
      </c>
      <c r="Q3">
        <v>92598</v>
      </c>
      <c r="R3" t="s">
        <v>1019</v>
      </c>
      <c r="S3" t="s">
        <v>1431</v>
      </c>
      <c r="T3">
        <v>92599</v>
      </c>
      <c r="U3" t="s">
        <v>1020</v>
      </c>
      <c r="V3" t="s">
        <v>1431</v>
      </c>
      <c r="W3">
        <v>0</v>
      </c>
      <c r="X3">
        <v>0</v>
      </c>
      <c r="Y3" t="e">
        <v>#N/A</v>
      </c>
      <c r="Z3">
        <v>0</v>
      </c>
      <c r="AA3">
        <v>0</v>
      </c>
      <c r="AB3" t="e">
        <v>#N/A</v>
      </c>
      <c r="AC3" t="s">
        <v>1216</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110</v>
      </c>
      <c r="C4">
        <v>92586</v>
      </c>
      <c r="D4" s="12" t="s">
        <v>1445</v>
      </c>
      <c r="E4" s="12" t="e">
        <f>VLOOKUP(C:C,#REF!,1,FALSE)</f>
        <v>#REF!</v>
      </c>
      <c r="F4" t="s">
        <v>1429</v>
      </c>
      <c r="K4">
        <v>92596</v>
      </c>
      <c r="L4" t="s">
        <v>1017</v>
      </c>
      <c r="M4" t="s">
        <v>1431</v>
      </c>
      <c r="N4">
        <v>92597</v>
      </c>
      <c r="O4" t="s">
        <v>1018</v>
      </c>
      <c r="P4" t="s">
        <v>1431</v>
      </c>
      <c r="Q4">
        <v>92598</v>
      </c>
      <c r="R4" t="s">
        <v>1019</v>
      </c>
      <c r="S4" t="s">
        <v>1431</v>
      </c>
      <c r="T4">
        <v>92599</v>
      </c>
      <c r="U4" t="s">
        <v>1020</v>
      </c>
      <c r="V4" t="s">
        <v>1431</v>
      </c>
      <c r="W4">
        <v>0</v>
      </c>
      <c r="X4">
        <v>0</v>
      </c>
      <c r="Y4" t="e">
        <v>#N/A</v>
      </c>
      <c r="Z4">
        <v>0</v>
      </c>
      <c r="AA4">
        <v>0</v>
      </c>
      <c r="AB4" t="e">
        <v>#N/A</v>
      </c>
      <c r="AC4" t="s">
        <v>1217</v>
      </c>
      <c r="AE4">
        <f t="shared" si="0"/>
        <v>92596</v>
      </c>
      <c r="AF4">
        <f t="shared" si="1"/>
        <v>92597</v>
      </c>
      <c r="AG4">
        <f t="shared" si="2"/>
        <v>92598</v>
      </c>
      <c r="AH4">
        <f t="shared" si="3"/>
        <v>92599</v>
      </c>
      <c r="AI4">
        <f t="shared" si="4"/>
        <v>0</v>
      </c>
      <c r="AJ4">
        <f t="shared" si="5"/>
        <v>0</v>
      </c>
    </row>
    <row r="5" spans="1:36">
      <c r="B5" t="s">
        <v>110</v>
      </c>
      <c r="C5">
        <v>92588</v>
      </c>
      <c r="D5" s="12" t="s">
        <v>1446</v>
      </c>
      <c r="E5" s="12" t="e">
        <f>VLOOKUP(C:C,#REF!,1,FALSE)</f>
        <v>#REF!</v>
      </c>
      <c r="F5" t="s">
        <v>1429</v>
      </c>
      <c r="K5">
        <v>92596</v>
      </c>
      <c r="L5" t="s">
        <v>1017</v>
      </c>
      <c r="M5" t="s">
        <v>1431</v>
      </c>
      <c r="N5">
        <v>92597</v>
      </c>
      <c r="O5" t="s">
        <v>1018</v>
      </c>
      <c r="P5" t="s">
        <v>1431</v>
      </c>
      <c r="Q5">
        <v>92598</v>
      </c>
      <c r="R5" t="s">
        <v>1019</v>
      </c>
      <c r="S5" t="s">
        <v>1431</v>
      </c>
      <c r="T5">
        <v>92599</v>
      </c>
      <c r="U5" t="s">
        <v>1020</v>
      </c>
      <c r="V5" t="s">
        <v>1431</v>
      </c>
      <c r="W5">
        <v>0</v>
      </c>
      <c r="X5">
        <v>0</v>
      </c>
      <c r="Y5" t="e">
        <v>#N/A</v>
      </c>
      <c r="Z5">
        <v>0</v>
      </c>
      <c r="AA5">
        <v>0</v>
      </c>
      <c r="AB5" t="e">
        <v>#N/A</v>
      </c>
      <c r="AC5" t="s">
        <v>1218</v>
      </c>
      <c r="AE5">
        <f t="shared" si="0"/>
        <v>92596</v>
      </c>
      <c r="AF5">
        <f t="shared" si="1"/>
        <v>92597</v>
      </c>
      <c r="AG5">
        <f t="shared" si="2"/>
        <v>92598</v>
      </c>
      <c r="AH5">
        <f t="shared" si="3"/>
        <v>92599</v>
      </c>
      <c r="AI5">
        <f t="shared" si="4"/>
        <v>0</v>
      </c>
      <c r="AJ5">
        <f t="shared" si="5"/>
        <v>0</v>
      </c>
    </row>
    <row r="6" spans="1:36">
      <c r="B6" t="s">
        <v>110</v>
      </c>
      <c r="C6">
        <v>92580</v>
      </c>
      <c r="D6" s="12" t="s">
        <v>1447</v>
      </c>
      <c r="E6" s="12" t="e">
        <f>VLOOKUP(C:C,#REF!,1,FALSE)</f>
        <v>#REF!</v>
      </c>
      <c r="F6" t="s">
        <v>1429</v>
      </c>
      <c r="K6">
        <v>92613</v>
      </c>
      <c r="L6" t="s">
        <v>1448</v>
      </c>
      <c r="M6" t="s">
        <v>1429</v>
      </c>
      <c r="N6">
        <v>92614</v>
      </c>
      <c r="O6" t="s">
        <v>1449</v>
      </c>
      <c r="P6" t="s">
        <v>1429</v>
      </c>
      <c r="Q6">
        <v>92592</v>
      </c>
      <c r="R6" t="s">
        <v>1450</v>
      </c>
      <c r="S6" t="s">
        <v>1429</v>
      </c>
      <c r="T6">
        <v>92593</v>
      </c>
      <c r="U6" t="s">
        <v>1451</v>
      </c>
      <c r="V6" t="s">
        <v>1429</v>
      </c>
      <c r="W6">
        <v>0</v>
      </c>
      <c r="X6">
        <v>0</v>
      </c>
      <c r="Y6" t="e">
        <v>#N/A</v>
      </c>
      <c r="Z6">
        <v>0</v>
      </c>
      <c r="AA6">
        <v>0</v>
      </c>
      <c r="AB6" t="e">
        <v>#N/A</v>
      </c>
      <c r="AC6" t="s">
        <v>1215</v>
      </c>
      <c r="AE6">
        <f t="shared" si="0"/>
        <v>92613</v>
      </c>
      <c r="AF6">
        <f t="shared" si="1"/>
        <v>92614</v>
      </c>
      <c r="AG6">
        <f t="shared" si="2"/>
        <v>92592</v>
      </c>
      <c r="AH6">
        <f t="shared" si="3"/>
        <v>92593</v>
      </c>
      <c r="AI6">
        <f t="shared" si="4"/>
        <v>0</v>
      </c>
      <c r="AJ6">
        <f t="shared" si="5"/>
        <v>0</v>
      </c>
    </row>
    <row r="7" spans="1:36">
      <c r="B7" t="s">
        <v>110</v>
      </c>
      <c r="C7">
        <v>92582</v>
      </c>
      <c r="D7" s="12" t="s">
        <v>1452</v>
      </c>
      <c r="E7" s="12" t="e">
        <f>VLOOKUP(C:C,#REF!,1,FALSE)</f>
        <v>#REF!</v>
      </c>
      <c r="F7" t="s">
        <v>1429</v>
      </c>
      <c r="K7">
        <v>92613</v>
      </c>
      <c r="L7" t="s">
        <v>1448</v>
      </c>
      <c r="M7" t="s">
        <v>1429</v>
      </c>
      <c r="N7">
        <v>92614</v>
      </c>
      <c r="O7" t="s">
        <v>1449</v>
      </c>
      <c r="P7" t="s">
        <v>1429</v>
      </c>
      <c r="Q7">
        <v>92592</v>
      </c>
      <c r="R7" t="s">
        <v>1450</v>
      </c>
      <c r="S7" t="s">
        <v>1429</v>
      </c>
      <c r="T7">
        <v>92593</v>
      </c>
      <c r="U7" t="s">
        <v>1451</v>
      </c>
      <c r="V7" t="s">
        <v>1429</v>
      </c>
      <c r="W7">
        <v>0</v>
      </c>
      <c r="X7">
        <v>0</v>
      </c>
      <c r="Y7" t="e">
        <v>#N/A</v>
      </c>
      <c r="Z7">
        <v>0</v>
      </c>
      <c r="AA7">
        <v>0</v>
      </c>
      <c r="AB7" t="e">
        <v>#N/A</v>
      </c>
      <c r="AC7" t="s">
        <v>1216</v>
      </c>
      <c r="AE7">
        <f t="shared" si="0"/>
        <v>92613</v>
      </c>
      <c r="AF7">
        <f t="shared" si="1"/>
        <v>92614</v>
      </c>
      <c r="AG7">
        <f t="shared" si="2"/>
        <v>92592</v>
      </c>
      <c r="AH7">
        <f t="shared" si="3"/>
        <v>92593</v>
      </c>
      <c r="AI7">
        <f t="shared" si="4"/>
        <v>0</v>
      </c>
      <c r="AJ7">
        <f t="shared" si="5"/>
        <v>0</v>
      </c>
    </row>
    <row r="8" spans="1:36">
      <c r="B8" t="s">
        <v>110</v>
      </c>
      <c r="C8">
        <v>92583</v>
      </c>
      <c r="D8" s="12" t="s">
        <v>1453</v>
      </c>
      <c r="E8" s="12" t="e">
        <f>VLOOKUP(C:C,#REF!,1,FALSE)</f>
        <v>#REF!</v>
      </c>
      <c r="F8" t="s">
        <v>1429</v>
      </c>
      <c r="K8">
        <v>92613</v>
      </c>
      <c r="L8" t="s">
        <v>1448</v>
      </c>
      <c r="M8" t="s">
        <v>1429</v>
      </c>
      <c r="N8">
        <v>92614</v>
      </c>
      <c r="O8" t="s">
        <v>1449</v>
      </c>
      <c r="P8" t="s">
        <v>1429</v>
      </c>
      <c r="Q8">
        <v>92592</v>
      </c>
      <c r="R8" t="s">
        <v>1450</v>
      </c>
      <c r="S8" t="s">
        <v>1429</v>
      </c>
      <c r="T8">
        <v>92593</v>
      </c>
      <c r="U8" t="s">
        <v>1451</v>
      </c>
      <c r="V8" t="s">
        <v>1429</v>
      </c>
      <c r="W8">
        <v>0</v>
      </c>
      <c r="X8">
        <v>0</v>
      </c>
      <c r="Y8" t="e">
        <v>#N/A</v>
      </c>
      <c r="Z8">
        <v>0</v>
      </c>
      <c r="AA8">
        <v>0</v>
      </c>
      <c r="AB8" t="e">
        <v>#N/A</v>
      </c>
      <c r="AC8" t="s">
        <v>1217</v>
      </c>
      <c r="AE8">
        <f t="shared" si="0"/>
        <v>92613</v>
      </c>
      <c r="AF8">
        <f t="shared" si="1"/>
        <v>92614</v>
      </c>
      <c r="AG8">
        <f t="shared" si="2"/>
        <v>92592</v>
      </c>
      <c r="AH8">
        <f t="shared" si="3"/>
        <v>92593</v>
      </c>
      <c r="AI8">
        <f t="shared" si="4"/>
        <v>0</v>
      </c>
      <c r="AJ8">
        <f t="shared" si="5"/>
        <v>0</v>
      </c>
    </row>
    <row r="9" spans="1:36">
      <c r="A9" t="s">
        <v>1454</v>
      </c>
      <c r="B9" t="s">
        <v>110</v>
      </c>
      <c r="C9" t="s">
        <v>803</v>
      </c>
      <c r="D9" s="12" t="s">
        <v>1455</v>
      </c>
      <c r="E9" s="12" t="e">
        <f>VLOOKUP(C:C,#REF!,1,FALSE)</f>
        <v>#REF!</v>
      </c>
      <c r="F9" t="s">
        <v>1430</v>
      </c>
      <c r="G9">
        <v>1</v>
      </c>
      <c r="H9">
        <v>1</v>
      </c>
      <c r="I9" t="s">
        <v>1215</v>
      </c>
      <c r="J9">
        <v>0</v>
      </c>
      <c r="K9" t="s">
        <v>113</v>
      </c>
      <c r="L9" t="s">
        <v>1021</v>
      </c>
      <c r="M9" t="s">
        <v>1431</v>
      </c>
      <c r="N9" t="s">
        <v>119</v>
      </c>
      <c r="O9" t="s">
        <v>1022</v>
      </c>
      <c r="P9" t="s">
        <v>1431</v>
      </c>
      <c r="Q9">
        <v>0</v>
      </c>
      <c r="R9">
        <v>0</v>
      </c>
      <c r="S9" t="e">
        <v>#N/A</v>
      </c>
      <c r="T9">
        <v>0</v>
      </c>
      <c r="U9">
        <v>0</v>
      </c>
      <c r="V9" t="e">
        <v>#N/A</v>
      </c>
      <c r="W9">
        <v>0</v>
      </c>
      <c r="X9">
        <v>0</v>
      </c>
      <c r="Y9" t="e">
        <v>#N/A</v>
      </c>
      <c r="Z9">
        <v>0</v>
      </c>
      <c r="AA9">
        <v>0</v>
      </c>
      <c r="AB9" t="e">
        <v>#N/A</v>
      </c>
      <c r="AC9" t="s">
        <v>1215</v>
      </c>
      <c r="AE9" t="str">
        <f t="shared" si="0"/>
        <v>92590T</v>
      </c>
      <c r="AF9" t="str">
        <f t="shared" si="1"/>
        <v>92591T</v>
      </c>
      <c r="AG9">
        <f t="shared" si="2"/>
        <v>0</v>
      </c>
      <c r="AH9">
        <f t="shared" si="3"/>
        <v>0</v>
      </c>
      <c r="AI9">
        <f t="shared" si="4"/>
        <v>0</v>
      </c>
      <c r="AJ9">
        <f t="shared" si="5"/>
        <v>0</v>
      </c>
    </row>
    <row r="10" spans="1:36">
      <c r="A10" t="s">
        <v>1454</v>
      </c>
      <c r="B10" t="s">
        <v>110</v>
      </c>
      <c r="C10">
        <v>350863</v>
      </c>
      <c r="D10" s="12" t="s">
        <v>3744</v>
      </c>
      <c r="E10" s="12" t="e">
        <f>VLOOKUP(C:C,#REF!,1,FALSE)</f>
        <v>#REF!</v>
      </c>
      <c r="F10" t="s">
        <v>1431</v>
      </c>
      <c r="G10">
        <v>1</v>
      </c>
      <c r="H10">
        <v>1</v>
      </c>
      <c r="I10" t="s">
        <v>1215</v>
      </c>
      <c r="J10">
        <v>0</v>
      </c>
      <c r="K10">
        <v>315856</v>
      </c>
      <c r="L10" t="s">
        <v>1456</v>
      </c>
      <c r="M10" t="s">
        <v>1431</v>
      </c>
      <c r="N10">
        <v>92596</v>
      </c>
      <c r="O10" t="s">
        <v>1017</v>
      </c>
      <c r="P10" t="s">
        <v>1431</v>
      </c>
      <c r="Q10">
        <v>92597</v>
      </c>
      <c r="R10" t="s">
        <v>1018</v>
      </c>
      <c r="S10" t="s">
        <v>1431</v>
      </c>
      <c r="T10">
        <v>350868</v>
      </c>
      <c r="U10" t="s">
        <v>1457</v>
      </c>
      <c r="V10" t="s">
        <v>1430</v>
      </c>
      <c r="W10">
        <v>92598</v>
      </c>
      <c r="X10" t="s">
        <v>1019</v>
      </c>
      <c r="Y10" t="s">
        <v>1431</v>
      </c>
      <c r="Z10">
        <v>92599</v>
      </c>
      <c r="AA10" t="s">
        <v>1020</v>
      </c>
      <c r="AB10" t="s">
        <v>1431</v>
      </c>
      <c r="AC10" t="s">
        <v>1215</v>
      </c>
      <c r="AE10">
        <f t="shared" si="0"/>
        <v>315856</v>
      </c>
      <c r="AF10">
        <f t="shared" si="1"/>
        <v>92596</v>
      </c>
      <c r="AG10">
        <f t="shared" si="2"/>
        <v>92597</v>
      </c>
      <c r="AH10">
        <f t="shared" si="3"/>
        <v>350868</v>
      </c>
      <c r="AI10">
        <f t="shared" si="4"/>
        <v>92598</v>
      </c>
      <c r="AJ10">
        <f t="shared" si="5"/>
        <v>92599</v>
      </c>
    </row>
    <row r="11" spans="1:36">
      <c r="A11" t="s">
        <v>1458</v>
      </c>
      <c r="B11" t="s">
        <v>110</v>
      </c>
      <c r="C11">
        <v>350864</v>
      </c>
      <c r="D11" s="12" t="s">
        <v>3753</v>
      </c>
      <c r="E11" s="12" t="e">
        <f>VLOOKUP(C:C,#REF!,1,FALSE)</f>
        <v>#REF!</v>
      </c>
      <c r="F11" t="s">
        <v>1431</v>
      </c>
      <c r="G11">
        <v>1</v>
      </c>
      <c r="H11">
        <v>0</v>
      </c>
      <c r="I11" t="s">
        <v>1215</v>
      </c>
      <c r="J11">
        <v>1</v>
      </c>
      <c r="K11">
        <v>315856</v>
      </c>
      <c r="L11" t="s">
        <v>1456</v>
      </c>
      <c r="M11" t="s">
        <v>1431</v>
      </c>
      <c r="N11">
        <v>92596</v>
      </c>
      <c r="O11" t="s">
        <v>1017</v>
      </c>
      <c r="P11" t="s">
        <v>1431</v>
      </c>
      <c r="Q11">
        <v>92597</v>
      </c>
      <c r="R11" t="s">
        <v>1018</v>
      </c>
      <c r="S11" t="s">
        <v>1431</v>
      </c>
      <c r="T11">
        <v>350868</v>
      </c>
      <c r="U11" t="s">
        <v>1457</v>
      </c>
      <c r="V11" t="s">
        <v>1430</v>
      </c>
      <c r="W11">
        <v>92598</v>
      </c>
      <c r="X11" t="s">
        <v>1019</v>
      </c>
      <c r="Y11" t="s">
        <v>1431</v>
      </c>
      <c r="Z11">
        <v>92599</v>
      </c>
      <c r="AA11" t="s">
        <v>1020</v>
      </c>
      <c r="AB11" t="s">
        <v>1431</v>
      </c>
      <c r="AC11" t="s">
        <v>1215</v>
      </c>
      <c r="AE11">
        <f t="shared" si="0"/>
        <v>315856</v>
      </c>
      <c r="AF11">
        <f t="shared" si="1"/>
        <v>92596</v>
      </c>
      <c r="AG11">
        <f t="shared" si="2"/>
        <v>92597</v>
      </c>
      <c r="AH11">
        <f t="shared" si="3"/>
        <v>350868</v>
      </c>
      <c r="AI11">
        <f t="shared" si="4"/>
        <v>92598</v>
      </c>
      <c r="AJ11">
        <f t="shared" si="5"/>
        <v>92599</v>
      </c>
    </row>
    <row r="12" spans="1:36">
      <c r="A12" t="s">
        <v>1454</v>
      </c>
      <c r="B12" t="s">
        <v>110</v>
      </c>
      <c r="C12" t="s">
        <v>114</v>
      </c>
      <c r="D12" s="12" t="s">
        <v>1459</v>
      </c>
      <c r="E12" s="12" t="e">
        <f>VLOOKUP(C:C,#REF!,1,FALSE)</f>
        <v>#REF!</v>
      </c>
      <c r="F12" t="s">
        <v>1431</v>
      </c>
      <c r="G12">
        <v>0</v>
      </c>
      <c r="H12">
        <v>1</v>
      </c>
      <c r="I12" t="s">
        <v>1215</v>
      </c>
      <c r="J12">
        <v>0</v>
      </c>
      <c r="K12" t="s">
        <v>113</v>
      </c>
      <c r="L12" t="s">
        <v>1021</v>
      </c>
      <c r="M12" t="s">
        <v>1431</v>
      </c>
      <c r="N12" t="s">
        <v>148</v>
      </c>
      <c r="O12" t="s">
        <v>1460</v>
      </c>
      <c r="P12" t="s">
        <v>1430</v>
      </c>
      <c r="Q12" t="s">
        <v>117</v>
      </c>
      <c r="R12" t="s">
        <v>1461</v>
      </c>
      <c r="S12" t="s">
        <v>1431</v>
      </c>
      <c r="T12" t="s">
        <v>119</v>
      </c>
      <c r="U12">
        <v>0</v>
      </c>
      <c r="V12" t="s">
        <v>1431</v>
      </c>
      <c r="W12" t="s">
        <v>146</v>
      </c>
      <c r="X12">
        <v>0</v>
      </c>
      <c r="Y12" t="s">
        <v>1431</v>
      </c>
      <c r="Z12">
        <v>0</v>
      </c>
      <c r="AA12">
        <v>0</v>
      </c>
      <c r="AB12" t="e">
        <v>#N/A</v>
      </c>
      <c r="AC12" t="s">
        <v>1215</v>
      </c>
      <c r="AE12" t="str">
        <f t="shared" si="0"/>
        <v>92590T</v>
      </c>
      <c r="AF12" t="str">
        <f t="shared" si="1"/>
        <v>92592T</v>
      </c>
      <c r="AG12" t="str">
        <f t="shared" si="2"/>
        <v>92594T</v>
      </c>
      <c r="AH12" t="str">
        <f t="shared" si="3"/>
        <v>92591T</v>
      </c>
      <c r="AI12" t="str">
        <f t="shared" si="4"/>
        <v>92593T</v>
      </c>
      <c r="AJ12">
        <f t="shared" si="5"/>
        <v>0</v>
      </c>
    </row>
    <row r="13" spans="1:36">
      <c r="A13" t="s">
        <v>1454</v>
      </c>
      <c r="B13" t="s">
        <v>110</v>
      </c>
      <c r="C13" t="s">
        <v>115</v>
      </c>
      <c r="D13" s="12" t="s">
        <v>1462</v>
      </c>
      <c r="E13" s="12" t="e">
        <f>VLOOKUP(C:C,#REF!,1,FALSE)</f>
        <v>#REF!</v>
      </c>
      <c r="F13" t="s">
        <v>1431</v>
      </c>
      <c r="G13">
        <v>0</v>
      </c>
      <c r="H13">
        <v>1</v>
      </c>
      <c r="I13" t="s">
        <v>1216</v>
      </c>
      <c r="J13">
        <v>0</v>
      </c>
      <c r="K13" t="s">
        <v>113</v>
      </c>
      <c r="L13" t="s">
        <v>1021</v>
      </c>
      <c r="M13" t="s">
        <v>1431</v>
      </c>
      <c r="N13" t="s">
        <v>148</v>
      </c>
      <c r="O13" t="s">
        <v>1460</v>
      </c>
      <c r="P13" t="s">
        <v>1430</v>
      </c>
      <c r="Q13" t="s">
        <v>117</v>
      </c>
      <c r="R13" t="s">
        <v>1461</v>
      </c>
      <c r="S13" t="s">
        <v>1431</v>
      </c>
      <c r="T13" t="s">
        <v>119</v>
      </c>
      <c r="U13">
        <v>0</v>
      </c>
      <c r="V13" t="s">
        <v>1431</v>
      </c>
      <c r="W13" t="s">
        <v>146</v>
      </c>
      <c r="X13">
        <v>0</v>
      </c>
      <c r="Y13" t="s">
        <v>1431</v>
      </c>
      <c r="Z13">
        <v>0</v>
      </c>
      <c r="AA13">
        <v>0</v>
      </c>
      <c r="AB13" t="e">
        <v>#N/A</v>
      </c>
      <c r="AC13" t="s">
        <v>1216</v>
      </c>
      <c r="AE13" t="str">
        <f t="shared" si="0"/>
        <v>92590T</v>
      </c>
      <c r="AF13" t="str">
        <f t="shared" si="1"/>
        <v>92592T</v>
      </c>
      <c r="AG13" t="str">
        <f t="shared" si="2"/>
        <v>92594T</v>
      </c>
      <c r="AH13" t="str">
        <f t="shared" si="3"/>
        <v>92591T</v>
      </c>
      <c r="AI13" t="str">
        <f t="shared" si="4"/>
        <v>92593T</v>
      </c>
      <c r="AJ13">
        <f t="shared" si="5"/>
        <v>0</v>
      </c>
    </row>
    <row r="14" spans="1:36">
      <c r="A14" t="s">
        <v>1454</v>
      </c>
      <c r="B14" t="s">
        <v>110</v>
      </c>
      <c r="C14" t="s">
        <v>116</v>
      </c>
      <c r="D14" s="12" t="s">
        <v>1463</v>
      </c>
      <c r="E14" s="12" t="e">
        <f>VLOOKUP(C:C,#REF!,1,FALSE)</f>
        <v>#REF!</v>
      </c>
      <c r="F14" t="s">
        <v>1430</v>
      </c>
      <c r="G14">
        <v>0</v>
      </c>
      <c r="H14">
        <v>1</v>
      </c>
      <c r="I14" t="s">
        <v>1217</v>
      </c>
      <c r="J14">
        <v>0</v>
      </c>
      <c r="K14" t="s">
        <v>113</v>
      </c>
      <c r="L14" t="s">
        <v>1021</v>
      </c>
      <c r="M14" t="s">
        <v>1431</v>
      </c>
      <c r="N14" t="s">
        <v>148</v>
      </c>
      <c r="O14" t="s">
        <v>1460</v>
      </c>
      <c r="P14" t="s">
        <v>1430</v>
      </c>
      <c r="Q14" t="s">
        <v>117</v>
      </c>
      <c r="R14" t="s">
        <v>1461</v>
      </c>
      <c r="S14" t="s">
        <v>1431</v>
      </c>
      <c r="T14" t="s">
        <v>119</v>
      </c>
      <c r="U14">
        <v>0</v>
      </c>
      <c r="V14" t="s">
        <v>1431</v>
      </c>
      <c r="W14" t="s">
        <v>146</v>
      </c>
      <c r="X14">
        <v>0</v>
      </c>
      <c r="Y14" t="s">
        <v>1431</v>
      </c>
      <c r="Z14">
        <v>0</v>
      </c>
      <c r="AA14">
        <v>0</v>
      </c>
      <c r="AB14" t="e">
        <v>#N/A</v>
      </c>
      <c r="AC14" t="s">
        <v>1217</v>
      </c>
      <c r="AE14" t="str">
        <f t="shared" si="0"/>
        <v>92590T</v>
      </c>
      <c r="AF14" t="str">
        <f t="shared" si="1"/>
        <v>92592T</v>
      </c>
      <c r="AG14" t="str">
        <f t="shared" si="2"/>
        <v>92594T</v>
      </c>
      <c r="AH14" t="str">
        <f t="shared" si="3"/>
        <v>92591T</v>
      </c>
      <c r="AI14" t="str">
        <f t="shared" si="4"/>
        <v>92593T</v>
      </c>
      <c r="AJ14">
        <f t="shared" si="5"/>
        <v>0</v>
      </c>
    </row>
    <row r="15" spans="1:36">
      <c r="A15" t="s">
        <v>1454</v>
      </c>
      <c r="B15" t="s">
        <v>110</v>
      </c>
      <c r="C15" t="s">
        <v>118</v>
      </c>
      <c r="D15" s="12" t="s">
        <v>1464</v>
      </c>
      <c r="E15" s="12" t="e">
        <f>VLOOKUP(C:C,#REF!,1,FALSE)</f>
        <v>#REF!</v>
      </c>
      <c r="F15" t="s">
        <v>1431</v>
      </c>
      <c r="G15">
        <v>0</v>
      </c>
      <c r="H15">
        <v>1</v>
      </c>
      <c r="I15" t="s">
        <v>1218</v>
      </c>
      <c r="J15">
        <v>0</v>
      </c>
      <c r="K15" t="s">
        <v>113</v>
      </c>
      <c r="L15" t="s">
        <v>1021</v>
      </c>
      <c r="M15" t="s">
        <v>1431</v>
      </c>
      <c r="N15" t="s">
        <v>148</v>
      </c>
      <c r="O15" t="s">
        <v>1460</v>
      </c>
      <c r="P15" t="s">
        <v>1430</v>
      </c>
      <c r="Q15" t="s">
        <v>117</v>
      </c>
      <c r="R15" t="s">
        <v>1461</v>
      </c>
      <c r="S15" t="s">
        <v>1431</v>
      </c>
      <c r="T15" t="s">
        <v>119</v>
      </c>
      <c r="U15">
        <v>0</v>
      </c>
      <c r="V15" t="s">
        <v>1431</v>
      </c>
      <c r="W15" t="s">
        <v>146</v>
      </c>
      <c r="X15">
        <v>0</v>
      </c>
      <c r="Y15" t="s">
        <v>1431</v>
      </c>
      <c r="Z15">
        <v>0</v>
      </c>
      <c r="AA15">
        <v>0</v>
      </c>
      <c r="AB15" t="e">
        <v>#N/A</v>
      </c>
      <c r="AC15" t="s">
        <v>1218</v>
      </c>
      <c r="AE15" t="str">
        <f t="shared" si="0"/>
        <v>92590T</v>
      </c>
      <c r="AF15" t="str">
        <f t="shared" si="1"/>
        <v>92592T</v>
      </c>
      <c r="AG15" t="str">
        <f t="shared" si="2"/>
        <v>92594T</v>
      </c>
      <c r="AH15" t="str">
        <f t="shared" si="3"/>
        <v>92591T</v>
      </c>
      <c r="AI15" t="str">
        <f t="shared" si="4"/>
        <v>92593T</v>
      </c>
      <c r="AJ15">
        <f t="shared" si="5"/>
        <v>0</v>
      </c>
    </row>
    <row r="16" spans="1:36">
      <c r="A16" t="s">
        <v>1454</v>
      </c>
      <c r="B16" t="s">
        <v>110</v>
      </c>
      <c r="C16">
        <v>350827</v>
      </c>
      <c r="D16" s="250" t="s">
        <v>3745</v>
      </c>
      <c r="E16" s="12" t="e">
        <f>VLOOKUP(C:C,#REF!,1,FALSE)</f>
        <v>#REF!</v>
      </c>
      <c r="F16" t="s">
        <v>1431</v>
      </c>
      <c r="G16">
        <v>0</v>
      </c>
      <c r="H16">
        <v>1</v>
      </c>
      <c r="I16" t="s">
        <v>1215</v>
      </c>
      <c r="J16">
        <v>0</v>
      </c>
      <c r="K16">
        <v>315856</v>
      </c>
      <c r="L16" t="s">
        <v>1456</v>
      </c>
      <c r="M16" t="s">
        <v>1431</v>
      </c>
      <c r="N16">
        <v>92596</v>
      </c>
      <c r="O16" t="s">
        <v>1017</v>
      </c>
      <c r="P16" t="s">
        <v>1431</v>
      </c>
      <c r="Q16">
        <v>92597</v>
      </c>
      <c r="R16" t="s">
        <v>1018</v>
      </c>
      <c r="S16" t="s">
        <v>1431</v>
      </c>
      <c r="T16">
        <v>350868</v>
      </c>
      <c r="U16" t="s">
        <v>1457</v>
      </c>
      <c r="V16" t="s">
        <v>1430</v>
      </c>
      <c r="W16">
        <v>92598</v>
      </c>
      <c r="X16" t="s">
        <v>1019</v>
      </c>
      <c r="Y16" t="s">
        <v>1431</v>
      </c>
      <c r="Z16">
        <v>92599</v>
      </c>
      <c r="AA16" t="s">
        <v>1020</v>
      </c>
      <c r="AB16" t="s">
        <v>1431</v>
      </c>
      <c r="AC16" t="s">
        <v>1215</v>
      </c>
      <c r="AE16">
        <f t="shared" si="0"/>
        <v>315856</v>
      </c>
      <c r="AF16">
        <f t="shared" si="1"/>
        <v>92596</v>
      </c>
      <c r="AG16">
        <f t="shared" si="2"/>
        <v>92597</v>
      </c>
      <c r="AH16">
        <f t="shared" si="3"/>
        <v>350868</v>
      </c>
      <c r="AI16">
        <f t="shared" si="4"/>
        <v>92598</v>
      </c>
      <c r="AJ16">
        <f t="shared" si="5"/>
        <v>92599</v>
      </c>
    </row>
    <row r="17" spans="1:36">
      <c r="A17" t="s">
        <v>1500</v>
      </c>
      <c r="B17" t="s">
        <v>110</v>
      </c>
      <c r="C17">
        <v>350837</v>
      </c>
      <c r="D17" s="250" t="s">
        <v>3746</v>
      </c>
      <c r="E17" s="12" t="e">
        <f>VLOOKUP(C:C,#REF!,1,FALSE)</f>
        <v>#REF!</v>
      </c>
      <c r="F17" t="s">
        <v>1431</v>
      </c>
      <c r="G17">
        <v>0</v>
      </c>
      <c r="H17">
        <v>0</v>
      </c>
      <c r="I17" t="s">
        <v>1215</v>
      </c>
      <c r="J17">
        <v>1</v>
      </c>
      <c r="K17">
        <v>315856</v>
      </c>
      <c r="L17" t="s">
        <v>1456</v>
      </c>
      <c r="M17" t="s">
        <v>1431</v>
      </c>
      <c r="N17">
        <v>92596</v>
      </c>
      <c r="O17" t="s">
        <v>1017</v>
      </c>
      <c r="P17" t="s">
        <v>1431</v>
      </c>
      <c r="Q17">
        <v>92597</v>
      </c>
      <c r="R17" t="s">
        <v>1018</v>
      </c>
      <c r="S17" t="s">
        <v>1431</v>
      </c>
      <c r="T17">
        <v>350868</v>
      </c>
      <c r="U17" t="s">
        <v>1457</v>
      </c>
      <c r="V17" t="s">
        <v>1430</v>
      </c>
      <c r="W17">
        <v>92598</v>
      </c>
      <c r="X17" t="s">
        <v>1019</v>
      </c>
      <c r="Y17" t="s">
        <v>1431</v>
      </c>
      <c r="Z17">
        <v>92599</v>
      </c>
      <c r="AA17" t="s">
        <v>1020</v>
      </c>
      <c r="AB17" t="s">
        <v>1431</v>
      </c>
      <c r="AC17" t="s">
        <v>1215</v>
      </c>
      <c r="AE17">
        <f t="shared" si="0"/>
        <v>315856</v>
      </c>
      <c r="AF17">
        <f t="shared" si="1"/>
        <v>92596</v>
      </c>
      <c r="AG17">
        <f t="shared" si="2"/>
        <v>92597</v>
      </c>
      <c r="AH17">
        <f t="shared" si="3"/>
        <v>350868</v>
      </c>
      <c r="AI17">
        <f t="shared" si="4"/>
        <v>92598</v>
      </c>
      <c r="AJ17">
        <f t="shared" si="5"/>
        <v>92599</v>
      </c>
    </row>
    <row r="18" spans="1:36">
      <c r="A18" t="s">
        <v>1454</v>
      </c>
      <c r="B18" t="s">
        <v>110</v>
      </c>
      <c r="C18">
        <v>350828</v>
      </c>
      <c r="D18" s="250" t="s">
        <v>3747</v>
      </c>
      <c r="E18" s="12" t="e">
        <f>VLOOKUP(C:C,#REF!,1,FALSE)</f>
        <v>#REF!</v>
      </c>
      <c r="F18" t="s">
        <v>1431</v>
      </c>
      <c r="G18">
        <v>0</v>
      </c>
      <c r="H18">
        <v>1</v>
      </c>
      <c r="I18" t="s">
        <v>1216</v>
      </c>
      <c r="J18">
        <v>0</v>
      </c>
      <c r="K18">
        <v>315856</v>
      </c>
      <c r="L18" t="s">
        <v>1456</v>
      </c>
      <c r="M18" t="s">
        <v>1431</v>
      </c>
      <c r="N18">
        <v>92596</v>
      </c>
      <c r="O18" t="s">
        <v>1017</v>
      </c>
      <c r="P18" t="s">
        <v>1431</v>
      </c>
      <c r="Q18">
        <v>92597</v>
      </c>
      <c r="R18" t="s">
        <v>1018</v>
      </c>
      <c r="S18" t="s">
        <v>1431</v>
      </c>
      <c r="T18">
        <v>350868</v>
      </c>
      <c r="U18" t="s">
        <v>1457</v>
      </c>
      <c r="V18" t="s">
        <v>1430</v>
      </c>
      <c r="W18">
        <v>92598</v>
      </c>
      <c r="X18" t="s">
        <v>1019</v>
      </c>
      <c r="Y18" t="s">
        <v>1431</v>
      </c>
      <c r="Z18">
        <v>92599</v>
      </c>
      <c r="AA18" t="s">
        <v>1020</v>
      </c>
      <c r="AB18" t="s">
        <v>1431</v>
      </c>
      <c r="AC18" t="s">
        <v>1216</v>
      </c>
      <c r="AE18">
        <f t="shared" si="0"/>
        <v>315856</v>
      </c>
      <c r="AF18">
        <f t="shared" si="1"/>
        <v>92596</v>
      </c>
      <c r="AG18">
        <f t="shared" si="2"/>
        <v>92597</v>
      </c>
      <c r="AH18">
        <f t="shared" si="3"/>
        <v>350868</v>
      </c>
      <c r="AI18">
        <f t="shared" si="4"/>
        <v>92598</v>
      </c>
      <c r="AJ18">
        <f t="shared" si="5"/>
        <v>92599</v>
      </c>
    </row>
    <row r="19" spans="1:36">
      <c r="A19" t="s">
        <v>1500</v>
      </c>
      <c r="B19" t="s">
        <v>110</v>
      </c>
      <c r="C19">
        <v>350838</v>
      </c>
      <c r="D19" s="250" t="s">
        <v>3748</v>
      </c>
      <c r="E19" s="12" t="e">
        <f>VLOOKUP(C:C,#REF!,1,FALSE)</f>
        <v>#REF!</v>
      </c>
      <c r="F19" t="s">
        <v>1431</v>
      </c>
      <c r="G19">
        <v>0</v>
      </c>
      <c r="H19">
        <v>0</v>
      </c>
      <c r="I19" t="s">
        <v>1216</v>
      </c>
      <c r="J19">
        <v>1</v>
      </c>
      <c r="K19">
        <v>315856</v>
      </c>
      <c r="L19" t="s">
        <v>1456</v>
      </c>
      <c r="M19" t="s">
        <v>1431</v>
      </c>
      <c r="N19">
        <v>92596</v>
      </c>
      <c r="O19" t="s">
        <v>1017</v>
      </c>
      <c r="P19" t="s">
        <v>1431</v>
      </c>
      <c r="Q19">
        <v>92597</v>
      </c>
      <c r="R19" t="s">
        <v>1018</v>
      </c>
      <c r="S19" t="s">
        <v>1431</v>
      </c>
      <c r="T19">
        <v>350868</v>
      </c>
      <c r="U19" t="s">
        <v>1457</v>
      </c>
      <c r="V19" t="s">
        <v>1430</v>
      </c>
      <c r="W19">
        <v>92598</v>
      </c>
      <c r="X19" t="s">
        <v>1019</v>
      </c>
      <c r="Y19" t="s">
        <v>1431</v>
      </c>
      <c r="Z19">
        <v>92599</v>
      </c>
      <c r="AA19" t="s">
        <v>1020</v>
      </c>
      <c r="AB19" t="s">
        <v>1431</v>
      </c>
      <c r="AC19" t="s">
        <v>1216</v>
      </c>
      <c r="AE19">
        <f t="shared" si="0"/>
        <v>315856</v>
      </c>
      <c r="AF19">
        <f t="shared" si="1"/>
        <v>92596</v>
      </c>
      <c r="AG19">
        <f t="shared" si="2"/>
        <v>92597</v>
      </c>
      <c r="AH19">
        <f t="shared" si="3"/>
        <v>350868</v>
      </c>
      <c r="AI19">
        <f t="shared" si="4"/>
        <v>92598</v>
      </c>
      <c r="AJ19">
        <f t="shared" si="5"/>
        <v>92599</v>
      </c>
    </row>
    <row r="20" spans="1:36">
      <c r="A20" t="s">
        <v>1454</v>
      </c>
      <c r="B20" t="s">
        <v>110</v>
      </c>
      <c r="C20">
        <v>350829</v>
      </c>
      <c r="D20" s="250" t="s">
        <v>3749</v>
      </c>
      <c r="E20" s="12" t="e">
        <f>VLOOKUP(C:C,#REF!,1,FALSE)</f>
        <v>#REF!</v>
      </c>
      <c r="F20" t="s">
        <v>1431</v>
      </c>
      <c r="G20">
        <v>0</v>
      </c>
      <c r="H20">
        <v>1</v>
      </c>
      <c r="I20" t="s">
        <v>1217</v>
      </c>
      <c r="J20">
        <v>0</v>
      </c>
      <c r="K20">
        <v>315856</v>
      </c>
      <c r="L20" t="s">
        <v>1456</v>
      </c>
      <c r="M20" t="s">
        <v>1431</v>
      </c>
      <c r="N20">
        <v>92596</v>
      </c>
      <c r="O20" t="s">
        <v>1017</v>
      </c>
      <c r="P20" t="s">
        <v>1431</v>
      </c>
      <c r="Q20">
        <v>92597</v>
      </c>
      <c r="R20" t="s">
        <v>1018</v>
      </c>
      <c r="S20" t="s">
        <v>1431</v>
      </c>
      <c r="T20">
        <v>350868</v>
      </c>
      <c r="U20" t="s">
        <v>1457</v>
      </c>
      <c r="V20" t="s">
        <v>1430</v>
      </c>
      <c r="W20">
        <v>92598</v>
      </c>
      <c r="X20" t="s">
        <v>1019</v>
      </c>
      <c r="Y20" t="s">
        <v>1431</v>
      </c>
      <c r="Z20">
        <v>92599</v>
      </c>
      <c r="AA20" t="s">
        <v>1020</v>
      </c>
      <c r="AB20" t="s">
        <v>1431</v>
      </c>
      <c r="AC20" t="s">
        <v>1217</v>
      </c>
      <c r="AE20">
        <f t="shared" si="0"/>
        <v>315856</v>
      </c>
      <c r="AF20">
        <f t="shared" si="1"/>
        <v>92596</v>
      </c>
      <c r="AG20">
        <f t="shared" si="2"/>
        <v>92597</v>
      </c>
      <c r="AH20">
        <f t="shared" si="3"/>
        <v>350868</v>
      </c>
      <c r="AI20">
        <f t="shared" si="4"/>
        <v>92598</v>
      </c>
      <c r="AJ20">
        <f t="shared" si="5"/>
        <v>92599</v>
      </c>
    </row>
    <row r="21" spans="1:36">
      <c r="A21" t="s">
        <v>1500</v>
      </c>
      <c r="B21" t="s">
        <v>110</v>
      </c>
      <c r="C21">
        <v>350839</v>
      </c>
      <c r="D21" s="250" t="s">
        <v>3750</v>
      </c>
      <c r="E21" s="12" t="e">
        <f>VLOOKUP(C:C,#REF!,1,FALSE)</f>
        <v>#REF!</v>
      </c>
      <c r="F21" t="s">
        <v>1431</v>
      </c>
      <c r="G21">
        <v>0</v>
      </c>
      <c r="H21">
        <v>0</v>
      </c>
      <c r="I21" t="s">
        <v>1217</v>
      </c>
      <c r="J21">
        <v>1</v>
      </c>
      <c r="K21">
        <v>315856</v>
      </c>
      <c r="L21" t="s">
        <v>1456</v>
      </c>
      <c r="M21" t="s">
        <v>1431</v>
      </c>
      <c r="N21">
        <v>92596</v>
      </c>
      <c r="O21" t="s">
        <v>1017</v>
      </c>
      <c r="P21" t="s">
        <v>1431</v>
      </c>
      <c r="Q21">
        <v>92597</v>
      </c>
      <c r="R21" t="s">
        <v>1018</v>
      </c>
      <c r="S21" t="s">
        <v>1431</v>
      </c>
      <c r="T21">
        <v>350868</v>
      </c>
      <c r="U21" t="s">
        <v>1457</v>
      </c>
      <c r="V21" t="s">
        <v>1430</v>
      </c>
      <c r="W21">
        <v>92598</v>
      </c>
      <c r="X21" t="s">
        <v>1019</v>
      </c>
      <c r="Y21" t="s">
        <v>1431</v>
      </c>
      <c r="Z21">
        <v>92599</v>
      </c>
      <c r="AA21" t="s">
        <v>1020</v>
      </c>
      <c r="AB21" t="s">
        <v>1431</v>
      </c>
      <c r="AC21" t="s">
        <v>1217</v>
      </c>
      <c r="AE21">
        <f t="shared" si="0"/>
        <v>315856</v>
      </c>
      <c r="AF21">
        <f t="shared" si="1"/>
        <v>92596</v>
      </c>
      <c r="AG21">
        <f t="shared" si="2"/>
        <v>92597</v>
      </c>
      <c r="AH21">
        <f t="shared" si="3"/>
        <v>350868</v>
      </c>
      <c r="AI21">
        <f t="shared" si="4"/>
        <v>92598</v>
      </c>
      <c r="AJ21">
        <f t="shared" si="5"/>
        <v>92599</v>
      </c>
    </row>
    <row r="22" spans="1:36">
      <c r="A22" t="s">
        <v>1454</v>
      </c>
      <c r="B22" t="s">
        <v>110</v>
      </c>
      <c r="C22">
        <v>350854</v>
      </c>
      <c r="D22" s="250" t="s">
        <v>3751</v>
      </c>
      <c r="E22" s="12" t="e">
        <f>VLOOKUP(C:C,#REF!,1,FALSE)</f>
        <v>#REF!</v>
      </c>
      <c r="F22" t="s">
        <v>1432</v>
      </c>
      <c r="G22">
        <v>0</v>
      </c>
      <c r="H22">
        <v>1</v>
      </c>
      <c r="I22" t="s">
        <v>1218</v>
      </c>
      <c r="J22">
        <v>0</v>
      </c>
      <c r="K22">
        <v>315856</v>
      </c>
      <c r="L22" t="s">
        <v>1456</v>
      </c>
      <c r="M22" t="s">
        <v>1431</v>
      </c>
      <c r="N22">
        <v>92596</v>
      </c>
      <c r="O22" t="s">
        <v>1017</v>
      </c>
      <c r="P22" t="s">
        <v>1431</v>
      </c>
      <c r="Q22">
        <v>92597</v>
      </c>
      <c r="R22" t="s">
        <v>1018</v>
      </c>
      <c r="S22" t="s">
        <v>1431</v>
      </c>
      <c r="T22">
        <v>350868</v>
      </c>
      <c r="U22" t="s">
        <v>1457</v>
      </c>
      <c r="V22" t="s">
        <v>1430</v>
      </c>
      <c r="W22">
        <v>92598</v>
      </c>
      <c r="X22" t="s">
        <v>1019</v>
      </c>
      <c r="Y22" t="s">
        <v>1431</v>
      </c>
      <c r="Z22">
        <v>92599</v>
      </c>
      <c r="AA22" t="s">
        <v>1020</v>
      </c>
      <c r="AB22" t="s">
        <v>1431</v>
      </c>
      <c r="AC22" t="s">
        <v>1218</v>
      </c>
      <c r="AE22">
        <f t="shared" si="0"/>
        <v>315856</v>
      </c>
      <c r="AF22">
        <f t="shared" si="1"/>
        <v>92596</v>
      </c>
      <c r="AG22">
        <f t="shared" si="2"/>
        <v>92597</v>
      </c>
      <c r="AH22">
        <f t="shared" si="3"/>
        <v>350868</v>
      </c>
      <c r="AI22">
        <f t="shared" si="4"/>
        <v>92598</v>
      </c>
      <c r="AJ22">
        <f t="shared" si="5"/>
        <v>92599</v>
      </c>
    </row>
    <row r="23" spans="1:36">
      <c r="A23" t="s">
        <v>1500</v>
      </c>
      <c r="B23" t="s">
        <v>110</v>
      </c>
      <c r="C23">
        <v>350856</v>
      </c>
      <c r="D23" s="250" t="s">
        <v>3752</v>
      </c>
      <c r="E23" s="12" t="e">
        <f>VLOOKUP(C:C,#REF!,1,FALSE)</f>
        <v>#REF!</v>
      </c>
      <c r="F23" t="s">
        <v>1432</v>
      </c>
      <c r="G23">
        <v>0</v>
      </c>
      <c r="H23">
        <v>0</v>
      </c>
      <c r="I23" t="s">
        <v>1218</v>
      </c>
      <c r="J23">
        <v>1</v>
      </c>
      <c r="K23">
        <v>315856</v>
      </c>
      <c r="L23" t="s">
        <v>1456</v>
      </c>
      <c r="M23" t="s">
        <v>1431</v>
      </c>
      <c r="N23">
        <v>92596</v>
      </c>
      <c r="O23" t="s">
        <v>1017</v>
      </c>
      <c r="P23" t="s">
        <v>1431</v>
      </c>
      <c r="Q23">
        <v>92597</v>
      </c>
      <c r="R23" t="s">
        <v>1018</v>
      </c>
      <c r="S23" t="s">
        <v>1431</v>
      </c>
      <c r="T23">
        <v>350868</v>
      </c>
      <c r="U23" t="s">
        <v>1457</v>
      </c>
      <c r="V23" t="s">
        <v>1430</v>
      </c>
      <c r="W23">
        <v>92598</v>
      </c>
      <c r="X23" t="s">
        <v>1019</v>
      </c>
      <c r="Y23" t="s">
        <v>1431</v>
      </c>
      <c r="Z23">
        <v>92599</v>
      </c>
      <c r="AA23" t="s">
        <v>1020</v>
      </c>
      <c r="AB23" t="s">
        <v>1431</v>
      </c>
      <c r="AC23" t="s">
        <v>1218</v>
      </c>
      <c r="AE23">
        <f t="shared" si="0"/>
        <v>315856</v>
      </c>
      <c r="AF23">
        <f t="shared" si="1"/>
        <v>92596</v>
      </c>
      <c r="AG23">
        <f t="shared" si="2"/>
        <v>92597</v>
      </c>
      <c r="AH23">
        <f t="shared" si="3"/>
        <v>350868</v>
      </c>
      <c r="AI23">
        <f t="shared" si="4"/>
        <v>92598</v>
      </c>
      <c r="AJ23">
        <f t="shared" si="5"/>
        <v>92599</v>
      </c>
    </row>
    <row r="24" spans="1:36">
      <c r="A24" t="s">
        <v>1026</v>
      </c>
      <c r="B24" t="s">
        <v>1026</v>
      </c>
      <c r="C24">
        <v>308058</v>
      </c>
      <c r="D24" s="12" t="s">
        <v>1465</v>
      </c>
      <c r="E24" s="12" t="e">
        <f>VLOOKUP(C:C,#REF!,1,FALSE)</f>
        <v>#REF!</v>
      </c>
      <c r="F24" t="s">
        <v>1430</v>
      </c>
      <c r="G24">
        <v>0</v>
      </c>
      <c r="H24">
        <v>1</v>
      </c>
      <c r="I24" t="s">
        <v>1215</v>
      </c>
      <c r="J24">
        <v>0</v>
      </c>
      <c r="K24">
        <v>106403</v>
      </c>
      <c r="L24" t="s">
        <v>1466</v>
      </c>
      <c r="M24" t="s">
        <v>1430</v>
      </c>
      <c r="N24">
        <v>119240</v>
      </c>
      <c r="O24" t="s">
        <v>1467</v>
      </c>
      <c r="P24" t="s">
        <v>1430</v>
      </c>
      <c r="Q24">
        <v>136276</v>
      </c>
      <c r="R24" t="s">
        <v>1468</v>
      </c>
      <c r="S24" t="s">
        <v>1430</v>
      </c>
      <c r="T24">
        <v>0</v>
      </c>
      <c r="U24">
        <v>0</v>
      </c>
      <c r="V24" t="e">
        <v>#N/A</v>
      </c>
      <c r="W24">
        <v>0</v>
      </c>
      <c r="X24">
        <v>0</v>
      </c>
      <c r="Y24" t="e">
        <v>#N/A</v>
      </c>
      <c r="Z24">
        <v>0</v>
      </c>
      <c r="AA24">
        <v>0</v>
      </c>
      <c r="AB24" t="e">
        <v>#N/A</v>
      </c>
      <c r="AC24" t="s">
        <v>1215</v>
      </c>
      <c r="AE24">
        <f t="shared" si="0"/>
        <v>106403</v>
      </c>
      <c r="AF24">
        <f t="shared" si="1"/>
        <v>119240</v>
      </c>
      <c r="AG24">
        <f t="shared" si="2"/>
        <v>136276</v>
      </c>
      <c r="AH24">
        <f t="shared" si="3"/>
        <v>0</v>
      </c>
      <c r="AI24">
        <f t="shared" si="4"/>
        <v>0</v>
      </c>
      <c r="AJ24">
        <f t="shared" si="5"/>
        <v>0</v>
      </c>
    </row>
    <row r="25" spans="1:36">
      <c r="A25" t="s">
        <v>1026</v>
      </c>
      <c r="B25" t="s">
        <v>1026</v>
      </c>
      <c r="C25">
        <v>308454</v>
      </c>
      <c r="D25" s="12" t="s">
        <v>1469</v>
      </c>
      <c r="E25" s="12" t="e">
        <f>VLOOKUP(C:C,#REF!,1,FALSE)</f>
        <v>#REF!</v>
      </c>
      <c r="F25" t="s">
        <v>1430</v>
      </c>
      <c r="G25">
        <v>0</v>
      </c>
      <c r="H25">
        <v>1</v>
      </c>
      <c r="I25" t="s">
        <v>1216</v>
      </c>
      <c r="J25">
        <v>0</v>
      </c>
      <c r="K25">
        <v>106403</v>
      </c>
      <c r="L25" t="s">
        <v>1466</v>
      </c>
      <c r="M25" t="s">
        <v>1430</v>
      </c>
      <c r="N25">
        <v>119240</v>
      </c>
      <c r="O25" t="s">
        <v>1467</v>
      </c>
      <c r="P25" t="s">
        <v>1430</v>
      </c>
      <c r="Q25">
        <v>136276</v>
      </c>
      <c r="R25" t="s">
        <v>1468</v>
      </c>
      <c r="S25" t="s">
        <v>1430</v>
      </c>
      <c r="T25">
        <v>0</v>
      </c>
      <c r="U25">
        <v>0</v>
      </c>
      <c r="V25" t="e">
        <v>#N/A</v>
      </c>
      <c r="W25">
        <v>0</v>
      </c>
      <c r="X25">
        <v>0</v>
      </c>
      <c r="Y25" t="e">
        <v>#N/A</v>
      </c>
      <c r="Z25">
        <v>0</v>
      </c>
      <c r="AA25">
        <v>0</v>
      </c>
      <c r="AB25" t="e">
        <v>#N/A</v>
      </c>
      <c r="AC25" t="s">
        <v>1216</v>
      </c>
      <c r="AE25">
        <f t="shared" si="0"/>
        <v>106403</v>
      </c>
      <c r="AF25">
        <f t="shared" si="1"/>
        <v>119240</v>
      </c>
      <c r="AG25">
        <f t="shared" si="2"/>
        <v>136276</v>
      </c>
      <c r="AH25">
        <f t="shared" si="3"/>
        <v>0</v>
      </c>
      <c r="AI25">
        <f t="shared" si="4"/>
        <v>0</v>
      </c>
      <c r="AJ25">
        <f t="shared" si="5"/>
        <v>0</v>
      </c>
    </row>
    <row r="26" spans="1:36">
      <c r="A26" t="s">
        <v>1026</v>
      </c>
      <c r="B26" t="s">
        <v>1026</v>
      </c>
      <c r="C26">
        <v>308455</v>
      </c>
      <c r="D26" s="12" t="s">
        <v>1470</v>
      </c>
      <c r="E26" s="12" t="e">
        <f>VLOOKUP(C:C,#REF!,1,FALSE)</f>
        <v>#REF!</v>
      </c>
      <c r="F26" t="s">
        <v>1430</v>
      </c>
      <c r="G26">
        <v>0</v>
      </c>
      <c r="H26">
        <v>1</v>
      </c>
      <c r="I26" t="s">
        <v>1217</v>
      </c>
      <c r="J26">
        <v>0</v>
      </c>
      <c r="K26">
        <v>106403</v>
      </c>
      <c r="L26" t="s">
        <v>1466</v>
      </c>
      <c r="M26" t="s">
        <v>1430</v>
      </c>
      <c r="N26">
        <v>119240</v>
      </c>
      <c r="O26" t="s">
        <v>1467</v>
      </c>
      <c r="P26" t="s">
        <v>1430</v>
      </c>
      <c r="Q26">
        <v>136276</v>
      </c>
      <c r="R26" t="s">
        <v>1468</v>
      </c>
      <c r="S26" t="s">
        <v>1430</v>
      </c>
      <c r="T26">
        <v>0</v>
      </c>
      <c r="U26">
        <v>0</v>
      </c>
      <c r="V26" t="e">
        <v>#N/A</v>
      </c>
      <c r="W26">
        <v>0</v>
      </c>
      <c r="X26">
        <v>0</v>
      </c>
      <c r="Y26" t="e">
        <v>#N/A</v>
      </c>
      <c r="Z26">
        <v>0</v>
      </c>
      <c r="AA26">
        <v>0</v>
      </c>
      <c r="AB26" t="e">
        <v>#N/A</v>
      </c>
      <c r="AC26" t="s">
        <v>1217</v>
      </c>
      <c r="AE26">
        <f t="shared" si="0"/>
        <v>106403</v>
      </c>
      <c r="AF26">
        <f t="shared" si="1"/>
        <v>119240</v>
      </c>
      <c r="AG26">
        <f t="shared" si="2"/>
        <v>136276</v>
      </c>
      <c r="AH26">
        <f t="shared" si="3"/>
        <v>0</v>
      </c>
      <c r="AI26">
        <f t="shared" si="4"/>
        <v>0</v>
      </c>
      <c r="AJ26">
        <f t="shared" si="5"/>
        <v>0</v>
      </c>
    </row>
    <row r="27" spans="1:36">
      <c r="A27" t="s">
        <v>1026</v>
      </c>
      <c r="B27" t="s">
        <v>1026</v>
      </c>
      <c r="C27">
        <v>336503</v>
      </c>
      <c r="D27" s="12" t="s">
        <v>1471</v>
      </c>
      <c r="E27" s="12" t="e">
        <f>VLOOKUP(C:C,#REF!,1,FALSE)</f>
        <v>#REF!</v>
      </c>
      <c r="F27" t="s">
        <v>1430</v>
      </c>
      <c r="G27">
        <v>0</v>
      </c>
      <c r="H27">
        <v>1</v>
      </c>
      <c r="I27" t="s">
        <v>1215</v>
      </c>
      <c r="J27">
        <v>0</v>
      </c>
      <c r="K27">
        <v>106403</v>
      </c>
      <c r="L27" t="s">
        <v>1466</v>
      </c>
      <c r="M27" t="s">
        <v>1430</v>
      </c>
      <c r="N27">
        <v>119240</v>
      </c>
      <c r="O27" t="s">
        <v>1467</v>
      </c>
      <c r="P27" t="s">
        <v>1430</v>
      </c>
      <c r="Q27">
        <v>136276</v>
      </c>
      <c r="R27" t="s">
        <v>1468</v>
      </c>
      <c r="S27" t="s">
        <v>1430</v>
      </c>
      <c r="T27">
        <v>0</v>
      </c>
      <c r="U27">
        <v>0</v>
      </c>
      <c r="V27" t="e">
        <v>#N/A</v>
      </c>
      <c r="W27">
        <v>0</v>
      </c>
      <c r="X27">
        <v>0</v>
      </c>
      <c r="Y27" t="e">
        <v>#N/A</v>
      </c>
      <c r="Z27">
        <v>0</v>
      </c>
      <c r="AA27">
        <v>0</v>
      </c>
      <c r="AB27" t="e">
        <v>#N/A</v>
      </c>
      <c r="AC27" t="s">
        <v>1219</v>
      </c>
      <c r="AE27">
        <f t="shared" si="0"/>
        <v>106403</v>
      </c>
      <c r="AF27">
        <f t="shared" si="1"/>
        <v>119240</v>
      </c>
      <c r="AG27">
        <f t="shared" si="2"/>
        <v>136276</v>
      </c>
      <c r="AH27">
        <f t="shared" si="3"/>
        <v>0</v>
      </c>
      <c r="AI27">
        <f t="shared" si="4"/>
        <v>0</v>
      </c>
      <c r="AJ27">
        <f t="shared" si="5"/>
        <v>0</v>
      </c>
    </row>
    <row r="28" spans="1:36">
      <c r="A28" t="s">
        <v>1026</v>
      </c>
      <c r="B28" t="s">
        <v>1026</v>
      </c>
      <c r="C28">
        <v>336506</v>
      </c>
      <c r="D28" s="251" t="s">
        <v>1472</v>
      </c>
      <c r="E28" s="12" t="e">
        <f>VLOOKUP(C:C,#REF!,1,FALSE)</f>
        <v>#REF!</v>
      </c>
      <c r="F28" t="s">
        <v>1430</v>
      </c>
      <c r="G28">
        <v>0</v>
      </c>
      <c r="H28">
        <v>1</v>
      </c>
      <c r="I28" t="s">
        <v>1216</v>
      </c>
      <c r="J28">
        <v>0</v>
      </c>
      <c r="K28">
        <v>106403</v>
      </c>
      <c r="L28" t="s">
        <v>1466</v>
      </c>
      <c r="M28" t="s">
        <v>1430</v>
      </c>
      <c r="N28">
        <v>119240</v>
      </c>
      <c r="O28" t="s">
        <v>1467</v>
      </c>
      <c r="P28" t="s">
        <v>1430</v>
      </c>
      <c r="Q28">
        <v>136276</v>
      </c>
      <c r="R28" t="s">
        <v>1468</v>
      </c>
      <c r="S28" t="s">
        <v>1430</v>
      </c>
      <c r="T28">
        <v>0</v>
      </c>
      <c r="U28">
        <v>0</v>
      </c>
      <c r="V28" t="e">
        <v>#N/A</v>
      </c>
      <c r="W28">
        <v>0</v>
      </c>
      <c r="X28">
        <v>0</v>
      </c>
      <c r="Y28" t="e">
        <v>#N/A</v>
      </c>
      <c r="Z28">
        <v>0</v>
      </c>
      <c r="AA28">
        <v>0</v>
      </c>
      <c r="AB28" t="e">
        <v>#N/A</v>
      </c>
      <c r="AC28" t="s">
        <v>1215</v>
      </c>
      <c r="AE28">
        <f t="shared" si="0"/>
        <v>106403</v>
      </c>
      <c r="AF28">
        <f t="shared" si="1"/>
        <v>119240</v>
      </c>
      <c r="AG28">
        <f t="shared" si="2"/>
        <v>136276</v>
      </c>
      <c r="AH28">
        <f t="shared" si="3"/>
        <v>0</v>
      </c>
      <c r="AI28">
        <f t="shared" si="4"/>
        <v>0</v>
      </c>
      <c r="AJ28">
        <f t="shared" si="5"/>
        <v>0</v>
      </c>
    </row>
    <row r="29" spans="1:36">
      <c r="A29" t="s">
        <v>1026</v>
      </c>
      <c r="B29" t="s">
        <v>1026</v>
      </c>
      <c r="C29">
        <v>346823</v>
      </c>
      <c r="D29" s="251" t="s">
        <v>1473</v>
      </c>
      <c r="E29" s="12" t="e">
        <f>VLOOKUP(C:C,#REF!,1,FALSE)</f>
        <v>#REF!</v>
      </c>
      <c r="F29" t="s">
        <v>1430</v>
      </c>
      <c r="G29">
        <v>0</v>
      </c>
      <c r="H29">
        <v>0</v>
      </c>
      <c r="I29" t="s">
        <v>1217</v>
      </c>
      <c r="J29">
        <v>1</v>
      </c>
      <c r="K29">
        <v>106403</v>
      </c>
      <c r="L29" t="s">
        <v>1466</v>
      </c>
      <c r="M29" t="s">
        <v>1430</v>
      </c>
      <c r="N29">
        <v>119240</v>
      </c>
      <c r="O29" t="s">
        <v>1467</v>
      </c>
      <c r="P29" t="s">
        <v>1430</v>
      </c>
      <c r="Q29">
        <v>136276</v>
      </c>
      <c r="R29" t="s">
        <v>1468</v>
      </c>
      <c r="S29" t="s">
        <v>1430</v>
      </c>
      <c r="T29">
        <v>0</v>
      </c>
      <c r="U29">
        <v>0</v>
      </c>
      <c r="V29" t="e">
        <v>#N/A</v>
      </c>
      <c r="W29">
        <v>0</v>
      </c>
      <c r="X29">
        <v>0</v>
      </c>
      <c r="Y29" t="e">
        <v>#N/A</v>
      </c>
      <c r="Z29">
        <v>0</v>
      </c>
      <c r="AA29">
        <v>0</v>
      </c>
      <c r="AB29" t="e">
        <v>#N/A</v>
      </c>
      <c r="AC29" t="s">
        <v>1215</v>
      </c>
      <c r="AE29">
        <f t="shared" si="0"/>
        <v>106403</v>
      </c>
      <c r="AF29">
        <f t="shared" si="1"/>
        <v>119240</v>
      </c>
      <c r="AG29">
        <f t="shared" si="2"/>
        <v>136276</v>
      </c>
      <c r="AH29">
        <f t="shared" si="3"/>
        <v>0</v>
      </c>
      <c r="AI29">
        <f t="shared" si="4"/>
        <v>0</v>
      </c>
      <c r="AJ29">
        <f t="shared" si="5"/>
        <v>0</v>
      </c>
    </row>
    <row r="30" spans="1:36">
      <c r="A30" t="s">
        <v>1026</v>
      </c>
      <c r="B30" t="s">
        <v>1026</v>
      </c>
      <c r="C30">
        <v>300279</v>
      </c>
      <c r="D30" s="251" t="s">
        <v>1474</v>
      </c>
      <c r="E30" s="12" t="e">
        <f>VLOOKUP(C:C,#REF!,1,FALSE)</f>
        <v>#REF!</v>
      </c>
      <c r="F30" t="s">
        <v>1430</v>
      </c>
      <c r="G30">
        <v>0</v>
      </c>
      <c r="H30">
        <v>1</v>
      </c>
      <c r="I30" t="s">
        <v>1215</v>
      </c>
      <c r="J30">
        <v>0</v>
      </c>
      <c r="K30">
        <v>106403</v>
      </c>
      <c r="L30" t="s">
        <v>1466</v>
      </c>
      <c r="M30" t="s">
        <v>1430</v>
      </c>
      <c r="N30">
        <v>119240</v>
      </c>
      <c r="O30" t="s">
        <v>1467</v>
      </c>
      <c r="P30" t="s">
        <v>1430</v>
      </c>
      <c r="Q30">
        <v>136276</v>
      </c>
      <c r="R30" t="s">
        <v>1468</v>
      </c>
      <c r="S30" t="s">
        <v>1430</v>
      </c>
      <c r="T30">
        <v>0</v>
      </c>
      <c r="U30">
        <v>0</v>
      </c>
      <c r="V30" t="e">
        <v>#N/A</v>
      </c>
      <c r="W30">
        <v>0</v>
      </c>
      <c r="X30">
        <v>0</v>
      </c>
      <c r="Y30" t="e">
        <v>#N/A</v>
      </c>
      <c r="Z30">
        <v>0</v>
      </c>
      <c r="AA30">
        <v>0</v>
      </c>
      <c r="AB30" t="e">
        <v>#N/A</v>
      </c>
      <c r="AC30" t="s">
        <v>1215</v>
      </c>
      <c r="AE30">
        <f t="shared" si="0"/>
        <v>106403</v>
      </c>
      <c r="AF30">
        <f t="shared" si="1"/>
        <v>119240</v>
      </c>
      <c r="AG30">
        <f t="shared" si="2"/>
        <v>136276</v>
      </c>
      <c r="AH30">
        <f t="shared" si="3"/>
        <v>0</v>
      </c>
      <c r="AI30">
        <f t="shared" si="4"/>
        <v>0</v>
      </c>
      <c r="AJ30">
        <f t="shared" si="5"/>
        <v>0</v>
      </c>
    </row>
    <row r="31" spans="1:36">
      <c r="A31" t="s">
        <v>1026</v>
      </c>
      <c r="B31" t="s">
        <v>1026</v>
      </c>
      <c r="C31">
        <v>300285</v>
      </c>
      <c r="D31" s="251" t="s">
        <v>1475</v>
      </c>
      <c r="E31" s="12" t="e">
        <f>VLOOKUP(C:C,#REF!,1,FALSE)</f>
        <v>#REF!</v>
      </c>
      <c r="F31" t="s">
        <v>1430</v>
      </c>
      <c r="G31">
        <v>1</v>
      </c>
      <c r="H31">
        <v>0</v>
      </c>
      <c r="I31" t="s">
        <v>1215</v>
      </c>
      <c r="J31">
        <v>1</v>
      </c>
      <c r="K31">
        <v>106403</v>
      </c>
      <c r="L31" t="s">
        <v>1466</v>
      </c>
      <c r="M31" t="s">
        <v>1430</v>
      </c>
      <c r="N31">
        <v>119240</v>
      </c>
      <c r="O31" t="s">
        <v>1467</v>
      </c>
      <c r="P31" t="s">
        <v>1430</v>
      </c>
      <c r="Q31">
        <v>136276</v>
      </c>
      <c r="R31" t="s">
        <v>1468</v>
      </c>
      <c r="S31" t="s">
        <v>1430</v>
      </c>
      <c r="T31">
        <v>0</v>
      </c>
      <c r="U31">
        <v>0</v>
      </c>
      <c r="V31" t="e">
        <v>#N/A</v>
      </c>
      <c r="W31">
        <v>0</v>
      </c>
      <c r="X31">
        <v>0</v>
      </c>
      <c r="Y31" t="e">
        <v>#N/A</v>
      </c>
      <c r="Z31">
        <v>0</v>
      </c>
      <c r="AA31">
        <v>0</v>
      </c>
      <c r="AB31" t="e">
        <v>#N/A</v>
      </c>
      <c r="AC31" t="s">
        <v>1217</v>
      </c>
      <c r="AE31">
        <f t="shared" si="0"/>
        <v>106403</v>
      </c>
      <c r="AF31">
        <f t="shared" si="1"/>
        <v>119240</v>
      </c>
      <c r="AG31">
        <f t="shared" si="2"/>
        <v>136276</v>
      </c>
      <c r="AH31">
        <f t="shared" si="3"/>
        <v>0</v>
      </c>
      <c r="AI31">
        <f t="shared" si="4"/>
        <v>0</v>
      </c>
      <c r="AJ31">
        <f t="shared" si="5"/>
        <v>0</v>
      </c>
    </row>
    <row r="32" spans="1:36">
      <c r="A32" t="s">
        <v>14</v>
      </c>
      <c r="B32" t="s">
        <v>14</v>
      </c>
      <c r="C32">
        <v>12002</v>
      </c>
      <c r="D32" s="251" t="s">
        <v>1476</v>
      </c>
      <c r="E32" s="12" t="e">
        <f>VLOOKUP(C:C,#REF!,1,FALSE)</f>
        <v>#REF!</v>
      </c>
      <c r="F32" t="s">
        <v>1431</v>
      </c>
      <c r="G32">
        <v>0</v>
      </c>
      <c r="H32">
        <v>0</v>
      </c>
      <c r="I32" t="s">
        <v>1215</v>
      </c>
      <c r="J32">
        <v>0</v>
      </c>
      <c r="K32">
        <v>12306</v>
      </c>
      <c r="L32" t="s">
        <v>1015</v>
      </c>
      <c r="M32" t="s">
        <v>1431</v>
      </c>
      <c r="N32">
        <v>12318</v>
      </c>
      <c r="O32" t="s">
        <v>1016</v>
      </c>
      <c r="P32" t="s">
        <v>1431</v>
      </c>
      <c r="Q32">
        <v>0</v>
      </c>
      <c r="R32" t="e">
        <v>#N/A</v>
      </c>
      <c r="S32" t="e">
        <v>#N/A</v>
      </c>
      <c r="T32">
        <v>0</v>
      </c>
      <c r="U32">
        <v>0</v>
      </c>
      <c r="V32" t="e">
        <v>#N/A</v>
      </c>
      <c r="W32">
        <v>0</v>
      </c>
      <c r="X32">
        <v>0</v>
      </c>
      <c r="Y32" t="e">
        <v>#N/A</v>
      </c>
      <c r="Z32">
        <v>0</v>
      </c>
      <c r="AA32">
        <v>0</v>
      </c>
      <c r="AB32" t="e">
        <v>#N/A</v>
      </c>
      <c r="AC32" t="s">
        <v>1215</v>
      </c>
      <c r="AE32">
        <f t="shared" si="0"/>
        <v>12306</v>
      </c>
      <c r="AF32">
        <f t="shared" si="1"/>
        <v>12318</v>
      </c>
      <c r="AG32">
        <f t="shared" si="2"/>
        <v>0</v>
      </c>
      <c r="AH32">
        <f t="shared" si="3"/>
        <v>0</v>
      </c>
      <c r="AI32">
        <f t="shared" si="4"/>
        <v>0</v>
      </c>
      <c r="AJ32">
        <f t="shared" si="5"/>
        <v>0</v>
      </c>
    </row>
    <row r="33" spans="1:36">
      <c r="A33" t="s">
        <v>14</v>
      </c>
      <c r="B33" t="s">
        <v>14</v>
      </c>
      <c r="C33">
        <v>12005</v>
      </c>
      <c r="D33" s="251" t="s">
        <v>1477</v>
      </c>
      <c r="E33" s="12" t="e">
        <f>VLOOKUP(C:C,#REF!,1,FALSE)</f>
        <v>#REF!</v>
      </c>
      <c r="F33" t="s">
        <v>1431</v>
      </c>
      <c r="G33">
        <v>0</v>
      </c>
      <c r="H33">
        <v>0</v>
      </c>
      <c r="I33" t="s">
        <v>1215</v>
      </c>
      <c r="J33">
        <v>0</v>
      </c>
      <c r="K33">
        <v>12306</v>
      </c>
      <c r="L33" t="s">
        <v>1015</v>
      </c>
      <c r="M33" t="s">
        <v>1431</v>
      </c>
      <c r="N33">
        <v>12318</v>
      </c>
      <c r="O33" t="s">
        <v>1016</v>
      </c>
      <c r="P33" t="s">
        <v>1431</v>
      </c>
      <c r="Q33">
        <v>0</v>
      </c>
      <c r="R33" t="e">
        <v>#N/A</v>
      </c>
      <c r="S33" t="e">
        <v>#N/A</v>
      </c>
      <c r="T33">
        <v>0</v>
      </c>
      <c r="U33">
        <v>0</v>
      </c>
      <c r="V33" t="e">
        <v>#N/A</v>
      </c>
      <c r="W33">
        <v>0</v>
      </c>
      <c r="X33">
        <v>0</v>
      </c>
      <c r="Y33" t="e">
        <v>#N/A</v>
      </c>
      <c r="Z33">
        <v>0</v>
      </c>
      <c r="AA33">
        <v>0</v>
      </c>
      <c r="AB33" t="e">
        <v>#N/A</v>
      </c>
      <c r="AC33" t="s">
        <v>1216</v>
      </c>
      <c r="AE33">
        <f t="shared" si="0"/>
        <v>12306</v>
      </c>
      <c r="AF33">
        <f t="shared" si="1"/>
        <v>12318</v>
      </c>
      <c r="AG33">
        <f t="shared" si="2"/>
        <v>0</v>
      </c>
      <c r="AH33">
        <f t="shared" si="3"/>
        <v>0</v>
      </c>
      <c r="AI33">
        <f t="shared" si="4"/>
        <v>0</v>
      </c>
      <c r="AJ33">
        <f t="shared" si="5"/>
        <v>0</v>
      </c>
    </row>
    <row r="34" spans="1:36">
      <c r="A34" t="s">
        <v>14</v>
      </c>
      <c r="B34" t="s">
        <v>14</v>
      </c>
      <c r="C34">
        <v>12008</v>
      </c>
      <c r="D34" s="252" t="s">
        <v>1478</v>
      </c>
      <c r="E34" s="12" t="e">
        <f>VLOOKUP(C:C,#REF!,1,FALSE)</f>
        <v>#REF!</v>
      </c>
      <c r="F34" t="s">
        <v>1431</v>
      </c>
      <c r="G34">
        <v>0</v>
      </c>
      <c r="H34">
        <v>0</v>
      </c>
      <c r="I34" t="s">
        <v>1217</v>
      </c>
      <c r="J34">
        <v>0</v>
      </c>
      <c r="K34">
        <v>12306</v>
      </c>
      <c r="L34" t="s">
        <v>1015</v>
      </c>
      <c r="M34" t="s">
        <v>1431</v>
      </c>
      <c r="N34">
        <v>12318</v>
      </c>
      <c r="O34" t="s">
        <v>1016</v>
      </c>
      <c r="P34" t="s">
        <v>1431</v>
      </c>
      <c r="Q34">
        <v>0</v>
      </c>
      <c r="R34" t="e">
        <v>#N/A</v>
      </c>
      <c r="S34" t="e">
        <v>#N/A</v>
      </c>
      <c r="T34">
        <v>0</v>
      </c>
      <c r="U34">
        <v>0</v>
      </c>
      <c r="V34" t="e">
        <v>#N/A</v>
      </c>
      <c r="W34">
        <v>0</v>
      </c>
      <c r="X34">
        <v>0</v>
      </c>
      <c r="Y34" t="e">
        <v>#N/A</v>
      </c>
      <c r="Z34">
        <v>0</v>
      </c>
      <c r="AA34">
        <v>0</v>
      </c>
      <c r="AB34" t="e">
        <v>#N/A</v>
      </c>
      <c r="AC34" t="s">
        <v>1217</v>
      </c>
      <c r="AE34">
        <f t="shared" si="0"/>
        <v>12306</v>
      </c>
      <c r="AF34">
        <f t="shared" si="1"/>
        <v>12318</v>
      </c>
      <c r="AG34">
        <f t="shared" si="2"/>
        <v>0</v>
      </c>
      <c r="AH34">
        <f t="shared" si="3"/>
        <v>0</v>
      </c>
      <c r="AI34">
        <f t="shared" si="4"/>
        <v>0</v>
      </c>
      <c r="AJ34">
        <f t="shared" si="5"/>
        <v>0</v>
      </c>
    </row>
    <row r="35" spans="1:36">
      <c r="A35" t="s">
        <v>14</v>
      </c>
      <c r="B35" t="s">
        <v>14</v>
      </c>
      <c r="C35">
        <v>12047</v>
      </c>
      <c r="D35" s="252" t="s">
        <v>1479</v>
      </c>
      <c r="E35" s="12" t="e">
        <f>VLOOKUP(C:C,#REF!,1,FALSE)</f>
        <v>#REF!</v>
      </c>
      <c r="F35" t="s">
        <v>1431</v>
      </c>
      <c r="G35">
        <v>0</v>
      </c>
      <c r="H35">
        <v>1</v>
      </c>
      <c r="I35" t="s">
        <v>1215</v>
      </c>
      <c r="J35">
        <v>0</v>
      </c>
      <c r="K35">
        <v>12306</v>
      </c>
      <c r="L35" t="s">
        <v>1015</v>
      </c>
      <c r="M35" t="s">
        <v>1431</v>
      </c>
      <c r="N35">
        <v>12318</v>
      </c>
      <c r="O35" t="s">
        <v>1016</v>
      </c>
      <c r="P35" t="s">
        <v>1431</v>
      </c>
      <c r="Q35">
        <v>0</v>
      </c>
      <c r="R35" t="e">
        <v>#N/A</v>
      </c>
      <c r="S35" t="e">
        <v>#N/A</v>
      </c>
      <c r="T35">
        <v>0</v>
      </c>
      <c r="U35">
        <v>0</v>
      </c>
      <c r="V35" t="e">
        <v>#N/A</v>
      </c>
      <c r="W35">
        <v>0</v>
      </c>
      <c r="X35">
        <v>0</v>
      </c>
      <c r="Y35" t="e">
        <v>#N/A</v>
      </c>
      <c r="Z35">
        <v>0</v>
      </c>
      <c r="AA35">
        <v>0</v>
      </c>
      <c r="AB35" t="e">
        <v>#N/A</v>
      </c>
      <c r="AC35" t="s">
        <v>1215</v>
      </c>
      <c r="AE35">
        <f t="shared" si="0"/>
        <v>12306</v>
      </c>
      <c r="AF35">
        <f t="shared" si="1"/>
        <v>12318</v>
      </c>
      <c r="AG35">
        <f t="shared" si="2"/>
        <v>0</v>
      </c>
      <c r="AH35">
        <f t="shared" si="3"/>
        <v>0</v>
      </c>
      <c r="AI35">
        <f t="shared" si="4"/>
        <v>0</v>
      </c>
      <c r="AJ35">
        <f t="shared" si="5"/>
        <v>0</v>
      </c>
    </row>
    <row r="36" spans="1:36">
      <c r="A36" t="s">
        <v>14</v>
      </c>
      <c r="B36" t="s">
        <v>14</v>
      </c>
      <c r="C36">
        <v>12048</v>
      </c>
      <c r="D36" s="251" t="s">
        <v>1480</v>
      </c>
      <c r="E36" s="12" t="e">
        <f>VLOOKUP(C:C,#REF!,1,FALSE)</f>
        <v>#REF!</v>
      </c>
      <c r="F36" t="s">
        <v>1431</v>
      </c>
      <c r="G36">
        <v>0</v>
      </c>
      <c r="H36">
        <v>1</v>
      </c>
      <c r="I36" t="s">
        <v>1216</v>
      </c>
      <c r="J36">
        <v>0</v>
      </c>
      <c r="K36">
        <v>12306</v>
      </c>
      <c r="L36" t="s">
        <v>1015</v>
      </c>
      <c r="M36" t="s">
        <v>1431</v>
      </c>
      <c r="N36">
        <v>12318</v>
      </c>
      <c r="O36" t="s">
        <v>1016</v>
      </c>
      <c r="P36" t="s">
        <v>1431</v>
      </c>
      <c r="Q36">
        <v>0</v>
      </c>
      <c r="R36" t="e">
        <v>#N/A</v>
      </c>
      <c r="S36" t="e">
        <v>#N/A</v>
      </c>
      <c r="T36">
        <v>0</v>
      </c>
      <c r="U36">
        <v>0</v>
      </c>
      <c r="V36" t="e">
        <v>#N/A</v>
      </c>
      <c r="W36">
        <v>0</v>
      </c>
      <c r="X36">
        <v>0</v>
      </c>
      <c r="Y36" t="e">
        <v>#N/A</v>
      </c>
      <c r="Z36">
        <v>0</v>
      </c>
      <c r="AA36">
        <v>0</v>
      </c>
      <c r="AB36" t="e">
        <v>#N/A</v>
      </c>
      <c r="AC36" t="s">
        <v>1216</v>
      </c>
      <c r="AE36">
        <f t="shared" si="0"/>
        <v>12306</v>
      </c>
      <c r="AF36">
        <f t="shared" si="1"/>
        <v>12318</v>
      </c>
      <c r="AG36">
        <f t="shared" si="2"/>
        <v>0</v>
      </c>
      <c r="AH36">
        <f t="shared" si="3"/>
        <v>0</v>
      </c>
      <c r="AI36">
        <f t="shared" si="4"/>
        <v>0</v>
      </c>
      <c r="AJ36">
        <f t="shared" si="5"/>
        <v>0</v>
      </c>
    </row>
    <row r="37" spans="1:36">
      <c r="A37" t="s">
        <v>14</v>
      </c>
      <c r="B37" t="s">
        <v>14</v>
      </c>
      <c r="C37">
        <v>12049</v>
      </c>
      <c r="D37" s="251" t="s">
        <v>1481</v>
      </c>
      <c r="E37" s="12" t="e">
        <f>VLOOKUP(C:C,#REF!,1,FALSE)</f>
        <v>#REF!</v>
      </c>
      <c r="F37" t="s">
        <v>1431</v>
      </c>
      <c r="G37">
        <v>0</v>
      </c>
      <c r="H37">
        <v>1</v>
      </c>
      <c r="I37" t="s">
        <v>1217</v>
      </c>
      <c r="J37">
        <v>0</v>
      </c>
      <c r="K37">
        <v>12306</v>
      </c>
      <c r="L37" t="s">
        <v>1015</v>
      </c>
      <c r="M37" t="s">
        <v>1431</v>
      </c>
      <c r="N37">
        <v>12318</v>
      </c>
      <c r="O37" t="s">
        <v>1016</v>
      </c>
      <c r="P37" t="s">
        <v>1431</v>
      </c>
      <c r="Q37">
        <v>0</v>
      </c>
      <c r="R37" t="e">
        <v>#N/A</v>
      </c>
      <c r="S37" t="e">
        <v>#N/A</v>
      </c>
      <c r="T37">
        <v>0</v>
      </c>
      <c r="U37">
        <v>0</v>
      </c>
      <c r="V37" t="e">
        <v>#N/A</v>
      </c>
      <c r="W37">
        <v>0</v>
      </c>
      <c r="X37">
        <v>0</v>
      </c>
      <c r="Y37" t="e">
        <v>#N/A</v>
      </c>
      <c r="Z37">
        <v>0</v>
      </c>
      <c r="AA37">
        <v>0</v>
      </c>
      <c r="AB37" t="e">
        <v>#N/A</v>
      </c>
      <c r="AC37" t="s">
        <v>1217</v>
      </c>
      <c r="AE37">
        <f t="shared" si="0"/>
        <v>12306</v>
      </c>
      <c r="AF37">
        <f t="shared" si="1"/>
        <v>12318</v>
      </c>
      <c r="AG37">
        <f t="shared" si="2"/>
        <v>0</v>
      </c>
      <c r="AH37">
        <f t="shared" si="3"/>
        <v>0</v>
      </c>
      <c r="AI37">
        <f t="shared" si="4"/>
        <v>0</v>
      </c>
      <c r="AJ37">
        <f t="shared" si="5"/>
        <v>0</v>
      </c>
    </row>
    <row r="38" spans="1:36">
      <c r="A38" t="s">
        <v>14</v>
      </c>
      <c r="B38" t="s">
        <v>14</v>
      </c>
      <c r="C38">
        <v>12052</v>
      </c>
      <c r="D38" s="251" t="s">
        <v>1482</v>
      </c>
      <c r="E38" s="12" t="e">
        <f>VLOOKUP(C:C,#REF!,1,FALSE)</f>
        <v>#REF!</v>
      </c>
      <c r="F38" t="s">
        <v>1431</v>
      </c>
      <c r="G38">
        <v>0</v>
      </c>
      <c r="H38">
        <v>0</v>
      </c>
      <c r="I38" t="s">
        <v>1215</v>
      </c>
      <c r="J38">
        <v>0</v>
      </c>
      <c r="K38">
        <v>12306</v>
      </c>
      <c r="L38" t="s">
        <v>1015</v>
      </c>
      <c r="M38" t="s">
        <v>1431</v>
      </c>
      <c r="N38">
        <v>12318</v>
      </c>
      <c r="O38" t="s">
        <v>1016</v>
      </c>
      <c r="P38" t="s">
        <v>1431</v>
      </c>
      <c r="Q38">
        <v>0</v>
      </c>
      <c r="R38" t="e">
        <v>#N/A</v>
      </c>
      <c r="S38" t="e">
        <v>#N/A</v>
      </c>
      <c r="T38">
        <v>0</v>
      </c>
      <c r="U38">
        <v>0</v>
      </c>
      <c r="V38" t="e">
        <v>#N/A</v>
      </c>
      <c r="W38">
        <v>0</v>
      </c>
      <c r="X38">
        <v>0</v>
      </c>
      <c r="Y38" t="e">
        <v>#N/A</v>
      </c>
      <c r="Z38">
        <v>0</v>
      </c>
      <c r="AA38">
        <v>0</v>
      </c>
      <c r="AB38" t="e">
        <v>#N/A</v>
      </c>
      <c r="AC38" t="s">
        <v>1215</v>
      </c>
      <c r="AE38">
        <f t="shared" si="0"/>
        <v>12306</v>
      </c>
      <c r="AF38">
        <f t="shared" si="1"/>
        <v>12318</v>
      </c>
      <c r="AG38">
        <f t="shared" si="2"/>
        <v>0</v>
      </c>
      <c r="AH38">
        <f t="shared" si="3"/>
        <v>0</v>
      </c>
      <c r="AI38">
        <f t="shared" si="4"/>
        <v>0</v>
      </c>
      <c r="AJ38">
        <f t="shared" si="5"/>
        <v>0</v>
      </c>
    </row>
    <row r="39" spans="1:36">
      <c r="A39" t="s">
        <v>14</v>
      </c>
      <c r="B39" t="s">
        <v>14</v>
      </c>
      <c r="C39">
        <v>12053</v>
      </c>
      <c r="D39" s="251" t="s">
        <v>1483</v>
      </c>
      <c r="E39" s="12" t="e">
        <f>VLOOKUP(C:C,#REF!,1,FALSE)</f>
        <v>#REF!</v>
      </c>
      <c r="F39" t="s">
        <v>1431</v>
      </c>
      <c r="G39">
        <v>0</v>
      </c>
      <c r="H39">
        <v>0</v>
      </c>
      <c r="I39" t="s">
        <v>1216</v>
      </c>
      <c r="J39">
        <v>0</v>
      </c>
      <c r="K39">
        <v>12306</v>
      </c>
      <c r="L39" t="s">
        <v>1015</v>
      </c>
      <c r="M39" t="s">
        <v>1431</v>
      </c>
      <c r="N39">
        <v>12318</v>
      </c>
      <c r="O39" t="s">
        <v>1016</v>
      </c>
      <c r="P39" t="s">
        <v>1431</v>
      </c>
      <c r="Q39">
        <v>0</v>
      </c>
      <c r="R39" t="e">
        <v>#N/A</v>
      </c>
      <c r="S39" t="e">
        <v>#N/A</v>
      </c>
      <c r="T39">
        <v>0</v>
      </c>
      <c r="U39">
        <v>0</v>
      </c>
      <c r="V39" t="e">
        <v>#N/A</v>
      </c>
      <c r="W39">
        <v>0</v>
      </c>
      <c r="X39">
        <v>0</v>
      </c>
      <c r="Y39" t="e">
        <v>#N/A</v>
      </c>
      <c r="Z39">
        <v>0</v>
      </c>
      <c r="AA39">
        <v>0</v>
      </c>
      <c r="AB39" t="e">
        <v>#N/A</v>
      </c>
      <c r="AC39" t="s">
        <v>1216</v>
      </c>
      <c r="AE39">
        <f t="shared" si="0"/>
        <v>12306</v>
      </c>
      <c r="AF39">
        <f t="shared" si="1"/>
        <v>12318</v>
      </c>
      <c r="AG39">
        <f t="shared" si="2"/>
        <v>0</v>
      </c>
      <c r="AH39">
        <f t="shared" si="3"/>
        <v>0</v>
      </c>
      <c r="AI39">
        <f t="shared" si="4"/>
        <v>0</v>
      </c>
      <c r="AJ39">
        <f t="shared" si="5"/>
        <v>0</v>
      </c>
    </row>
    <row r="40" spans="1:36">
      <c r="A40" t="s">
        <v>14</v>
      </c>
      <c r="B40" t="s">
        <v>14</v>
      </c>
      <c r="C40">
        <v>12059</v>
      </c>
      <c r="D40" s="251" t="s">
        <v>1484</v>
      </c>
      <c r="E40" s="12" t="e">
        <f>VLOOKUP(C:C,#REF!,1,FALSE)</f>
        <v>#REF!</v>
      </c>
      <c r="F40" t="s">
        <v>1431</v>
      </c>
      <c r="G40">
        <v>0</v>
      </c>
      <c r="H40">
        <v>0</v>
      </c>
      <c r="I40" t="s">
        <v>1217</v>
      </c>
      <c r="J40">
        <v>0</v>
      </c>
      <c r="K40">
        <v>12306</v>
      </c>
      <c r="L40" t="s">
        <v>1015</v>
      </c>
      <c r="M40" t="s">
        <v>1431</v>
      </c>
      <c r="N40">
        <v>12318</v>
      </c>
      <c r="O40" t="s">
        <v>1016</v>
      </c>
      <c r="P40" t="s">
        <v>1431</v>
      </c>
      <c r="Q40">
        <v>0</v>
      </c>
      <c r="R40" t="e">
        <v>#N/A</v>
      </c>
      <c r="S40" t="e">
        <v>#N/A</v>
      </c>
      <c r="T40">
        <v>0</v>
      </c>
      <c r="U40">
        <v>0</v>
      </c>
      <c r="V40" t="e">
        <v>#N/A</v>
      </c>
      <c r="W40">
        <v>0</v>
      </c>
      <c r="X40">
        <v>0</v>
      </c>
      <c r="Y40" t="e">
        <v>#N/A</v>
      </c>
      <c r="Z40">
        <v>0</v>
      </c>
      <c r="AA40">
        <v>0</v>
      </c>
      <c r="AB40" t="e">
        <v>#N/A</v>
      </c>
      <c r="AC40" t="s">
        <v>1217</v>
      </c>
      <c r="AE40">
        <f t="shared" si="0"/>
        <v>12306</v>
      </c>
      <c r="AF40">
        <f t="shared" si="1"/>
        <v>12318</v>
      </c>
      <c r="AG40">
        <f t="shared" si="2"/>
        <v>0</v>
      </c>
      <c r="AH40">
        <f t="shared" si="3"/>
        <v>0</v>
      </c>
      <c r="AI40">
        <f t="shared" si="4"/>
        <v>0</v>
      </c>
      <c r="AJ40">
        <f t="shared" si="5"/>
        <v>0</v>
      </c>
    </row>
    <row r="41" spans="1:36">
      <c r="A41" t="s">
        <v>14</v>
      </c>
      <c r="B41" t="s">
        <v>14</v>
      </c>
      <c r="C41">
        <v>226668</v>
      </c>
      <c r="D41" s="251" t="s">
        <v>1485</v>
      </c>
      <c r="E41" s="12" t="e">
        <f>VLOOKUP(C:C,#REF!,1,FALSE)</f>
        <v>#REF!</v>
      </c>
      <c r="F41" t="s">
        <v>1430</v>
      </c>
      <c r="G41">
        <v>0</v>
      </c>
      <c r="H41">
        <v>0</v>
      </c>
      <c r="I41" t="s">
        <v>1215</v>
      </c>
      <c r="J41">
        <v>1</v>
      </c>
      <c r="K41">
        <v>12306</v>
      </c>
      <c r="L41" t="s">
        <v>1015</v>
      </c>
      <c r="M41" t="s">
        <v>1431</v>
      </c>
      <c r="N41">
        <v>12318</v>
      </c>
      <c r="O41" t="s">
        <v>1016</v>
      </c>
      <c r="P41" t="s">
        <v>1431</v>
      </c>
      <c r="Q41">
        <v>0</v>
      </c>
      <c r="R41" t="e">
        <v>#N/A</v>
      </c>
      <c r="S41" t="e">
        <v>#N/A</v>
      </c>
      <c r="T41">
        <v>0</v>
      </c>
      <c r="U41">
        <v>0</v>
      </c>
      <c r="V41" t="e">
        <v>#N/A</v>
      </c>
      <c r="W41">
        <v>0</v>
      </c>
      <c r="X41">
        <v>0</v>
      </c>
      <c r="Y41" t="e">
        <v>#N/A</v>
      </c>
      <c r="Z41">
        <v>0</v>
      </c>
      <c r="AA41">
        <v>0</v>
      </c>
      <c r="AB41" t="e">
        <v>#N/A</v>
      </c>
      <c r="AC41" t="s">
        <v>1215</v>
      </c>
      <c r="AE41">
        <f t="shared" si="0"/>
        <v>12306</v>
      </c>
      <c r="AF41">
        <f t="shared" si="1"/>
        <v>12318</v>
      </c>
      <c r="AG41">
        <f t="shared" si="2"/>
        <v>0</v>
      </c>
      <c r="AH41">
        <f t="shared" si="3"/>
        <v>0</v>
      </c>
      <c r="AI41">
        <f t="shared" si="4"/>
        <v>0</v>
      </c>
      <c r="AJ41">
        <f t="shared" si="5"/>
        <v>0</v>
      </c>
    </row>
    <row r="42" spans="1:36">
      <c r="A42" t="s">
        <v>14</v>
      </c>
      <c r="B42" t="s">
        <v>14</v>
      </c>
      <c r="C42">
        <v>226670</v>
      </c>
      <c r="D42" s="251" t="s">
        <v>1486</v>
      </c>
      <c r="E42" s="12" t="e">
        <f>VLOOKUP(C:C,#REF!,1,FALSE)</f>
        <v>#REF!</v>
      </c>
      <c r="F42" t="s">
        <v>1430</v>
      </c>
      <c r="G42">
        <v>0</v>
      </c>
      <c r="H42">
        <v>0</v>
      </c>
      <c r="I42" t="s">
        <v>1216</v>
      </c>
      <c r="J42">
        <v>1</v>
      </c>
      <c r="K42">
        <v>12306</v>
      </c>
      <c r="L42" t="s">
        <v>1015</v>
      </c>
      <c r="M42" t="s">
        <v>1431</v>
      </c>
      <c r="N42">
        <v>12318</v>
      </c>
      <c r="O42" t="s">
        <v>1016</v>
      </c>
      <c r="P42" t="s">
        <v>1431</v>
      </c>
      <c r="Q42">
        <v>0</v>
      </c>
      <c r="R42" t="e">
        <v>#N/A</v>
      </c>
      <c r="S42" t="e">
        <v>#N/A</v>
      </c>
      <c r="T42">
        <v>0</v>
      </c>
      <c r="U42">
        <v>0</v>
      </c>
      <c r="V42" t="e">
        <v>#N/A</v>
      </c>
      <c r="W42">
        <v>0</v>
      </c>
      <c r="X42">
        <v>0</v>
      </c>
      <c r="Y42" t="e">
        <v>#N/A</v>
      </c>
      <c r="Z42">
        <v>0</v>
      </c>
      <c r="AA42">
        <v>0</v>
      </c>
      <c r="AB42" t="e">
        <v>#N/A</v>
      </c>
      <c r="AC42" t="s">
        <v>1216</v>
      </c>
      <c r="AE42">
        <f t="shared" si="0"/>
        <v>12306</v>
      </c>
      <c r="AF42">
        <f t="shared" si="1"/>
        <v>12318</v>
      </c>
      <c r="AG42">
        <f t="shared" si="2"/>
        <v>0</v>
      </c>
      <c r="AH42">
        <f t="shared" si="3"/>
        <v>0</v>
      </c>
      <c r="AI42">
        <f t="shared" si="4"/>
        <v>0</v>
      </c>
      <c r="AJ42">
        <f t="shared" si="5"/>
        <v>0</v>
      </c>
    </row>
    <row r="43" spans="1:36">
      <c r="A43" t="s">
        <v>14</v>
      </c>
      <c r="B43" t="s">
        <v>14</v>
      </c>
      <c r="C43">
        <v>226671</v>
      </c>
      <c r="D43" s="251" t="s">
        <v>1487</v>
      </c>
      <c r="E43" s="12" t="e">
        <f>VLOOKUP(C:C,#REF!,1,FALSE)</f>
        <v>#REF!</v>
      </c>
      <c r="F43" t="s">
        <v>1430</v>
      </c>
      <c r="G43">
        <v>0</v>
      </c>
      <c r="H43">
        <v>0</v>
      </c>
      <c r="I43" t="s">
        <v>1217</v>
      </c>
      <c r="J43">
        <v>1</v>
      </c>
      <c r="K43">
        <v>12306</v>
      </c>
      <c r="L43" t="s">
        <v>1015</v>
      </c>
      <c r="M43" t="s">
        <v>1431</v>
      </c>
      <c r="N43">
        <v>12318</v>
      </c>
      <c r="O43" t="s">
        <v>1016</v>
      </c>
      <c r="P43" t="s">
        <v>1431</v>
      </c>
      <c r="Q43">
        <v>0</v>
      </c>
      <c r="R43" t="e">
        <v>#N/A</v>
      </c>
      <c r="S43" t="e">
        <v>#N/A</v>
      </c>
      <c r="T43">
        <v>0</v>
      </c>
      <c r="U43">
        <v>0</v>
      </c>
      <c r="V43" t="e">
        <v>#N/A</v>
      </c>
      <c r="W43">
        <v>0</v>
      </c>
      <c r="X43">
        <v>0</v>
      </c>
      <c r="Y43" t="e">
        <v>#N/A</v>
      </c>
      <c r="Z43">
        <v>0</v>
      </c>
      <c r="AA43">
        <v>0</v>
      </c>
      <c r="AB43" t="e">
        <v>#N/A</v>
      </c>
      <c r="AC43" t="s">
        <v>1217</v>
      </c>
      <c r="AE43">
        <f t="shared" si="0"/>
        <v>12306</v>
      </c>
      <c r="AF43">
        <f t="shared" si="1"/>
        <v>12318</v>
      </c>
      <c r="AG43">
        <f t="shared" si="2"/>
        <v>0</v>
      </c>
      <c r="AH43">
        <f t="shared" si="3"/>
        <v>0</v>
      </c>
      <c r="AI43">
        <f t="shared" si="4"/>
        <v>0</v>
      </c>
      <c r="AJ43">
        <f t="shared" si="5"/>
        <v>0</v>
      </c>
    </row>
    <row r="44" spans="1:36">
      <c r="A44" t="s">
        <v>14</v>
      </c>
      <c r="B44" t="s">
        <v>14</v>
      </c>
      <c r="C44">
        <v>306317</v>
      </c>
      <c r="D44" s="251" t="s">
        <v>1488</v>
      </c>
      <c r="E44" s="12" t="e">
        <f>VLOOKUP(C:C,#REF!,1,FALSE)</f>
        <v>#REF!</v>
      </c>
      <c r="F44" t="s">
        <v>1430</v>
      </c>
      <c r="G44">
        <v>0</v>
      </c>
      <c r="H44">
        <v>1</v>
      </c>
      <c r="I44" t="s">
        <v>1215</v>
      </c>
      <c r="J44">
        <v>0</v>
      </c>
      <c r="K44">
        <v>12306</v>
      </c>
      <c r="L44" t="s">
        <v>1015</v>
      </c>
      <c r="M44" t="s">
        <v>1431</v>
      </c>
      <c r="N44">
        <v>12318</v>
      </c>
      <c r="O44" t="s">
        <v>1016</v>
      </c>
      <c r="P44" t="s">
        <v>1431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14</v>
      </c>
      <c r="B45" t="s">
        <v>14</v>
      </c>
      <c r="C45">
        <v>306318</v>
      </c>
      <c r="D45" s="251" t="s">
        <v>1489</v>
      </c>
      <c r="E45" s="12" t="e">
        <f>VLOOKUP(C:C,#REF!,1,FALSE)</f>
        <v>#REF!</v>
      </c>
      <c r="F45" t="s">
        <v>1430</v>
      </c>
      <c r="G45">
        <v>0</v>
      </c>
      <c r="H45">
        <v>1</v>
      </c>
      <c r="I45" t="s">
        <v>1216</v>
      </c>
      <c r="J45">
        <v>0</v>
      </c>
      <c r="K45">
        <v>12306</v>
      </c>
      <c r="L45" t="s">
        <v>1015</v>
      </c>
      <c r="M45" t="s">
        <v>1431</v>
      </c>
      <c r="N45">
        <v>12318</v>
      </c>
      <c r="O45" t="s">
        <v>1016</v>
      </c>
      <c r="P45" t="s">
        <v>1431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14</v>
      </c>
      <c r="B46" t="s">
        <v>14</v>
      </c>
      <c r="C46">
        <v>306319</v>
      </c>
      <c r="D46" s="251" t="s">
        <v>1490</v>
      </c>
      <c r="E46" s="12" t="e">
        <f>VLOOKUP(C:C,#REF!,1,FALSE)</f>
        <v>#REF!</v>
      </c>
      <c r="F46" t="s">
        <v>1430</v>
      </c>
      <c r="G46">
        <v>0</v>
      </c>
      <c r="H46">
        <v>1</v>
      </c>
      <c r="I46" t="s">
        <v>1217</v>
      </c>
      <c r="J46">
        <v>0</v>
      </c>
      <c r="K46">
        <v>12306</v>
      </c>
      <c r="L46" t="s">
        <v>1015</v>
      </c>
      <c r="M46" t="s">
        <v>1431</v>
      </c>
      <c r="N46">
        <v>12318</v>
      </c>
      <c r="O46" t="s">
        <v>1016</v>
      </c>
      <c r="P46" t="s">
        <v>1431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14</v>
      </c>
      <c r="B47" t="s">
        <v>14</v>
      </c>
      <c r="C47">
        <v>12106</v>
      </c>
      <c r="D47" s="251" t="s">
        <v>1491</v>
      </c>
      <c r="E47" s="12" t="e">
        <f>VLOOKUP(C:C,#REF!,1,FALSE)</f>
        <v>#REF!</v>
      </c>
      <c r="F47" t="s">
        <v>1431</v>
      </c>
      <c r="G47">
        <v>1</v>
      </c>
      <c r="H47">
        <v>0</v>
      </c>
      <c r="I47" t="s">
        <v>1215</v>
      </c>
      <c r="J47">
        <v>0</v>
      </c>
      <c r="K47">
        <v>12306</v>
      </c>
      <c r="L47" t="s">
        <v>1015</v>
      </c>
      <c r="M47" t="s">
        <v>1431</v>
      </c>
      <c r="N47">
        <v>12318</v>
      </c>
      <c r="O47" t="s">
        <v>1016</v>
      </c>
      <c r="P47" t="s">
        <v>1431</v>
      </c>
      <c r="Q47">
        <v>0</v>
      </c>
      <c r="R47" t="e">
        <v>#N/A</v>
      </c>
      <c r="S47" t="e">
        <v>#N/A</v>
      </c>
      <c r="T47">
        <v>0</v>
      </c>
      <c r="U47">
        <v>0</v>
      </c>
      <c r="V47" t="e">
        <v>#N/A</v>
      </c>
      <c r="W47">
        <v>0</v>
      </c>
      <c r="X47">
        <v>0</v>
      </c>
      <c r="Y47" t="e">
        <v>#N/A</v>
      </c>
      <c r="Z47">
        <v>0</v>
      </c>
      <c r="AA47">
        <v>0</v>
      </c>
      <c r="AB47" t="e">
        <v>#N/A</v>
      </c>
      <c r="AC47" t="s">
        <v>1215</v>
      </c>
      <c r="AE47">
        <f t="shared" si="0"/>
        <v>12306</v>
      </c>
      <c r="AF47">
        <f t="shared" si="1"/>
        <v>12318</v>
      </c>
      <c r="AG47">
        <f t="shared" si="2"/>
        <v>0</v>
      </c>
      <c r="AH47">
        <f t="shared" si="3"/>
        <v>0</v>
      </c>
      <c r="AI47">
        <f t="shared" si="4"/>
        <v>0</v>
      </c>
      <c r="AJ47">
        <f t="shared" si="5"/>
        <v>0</v>
      </c>
    </row>
    <row r="48" spans="1:36">
      <c r="A48" t="s">
        <v>14</v>
      </c>
      <c r="B48" t="s">
        <v>14</v>
      </c>
      <c r="C48">
        <v>12107</v>
      </c>
      <c r="D48" s="251" t="s">
        <v>1492</v>
      </c>
      <c r="E48" s="12" t="e">
        <f>VLOOKUP(C:C,#REF!,1,FALSE)</f>
        <v>#REF!</v>
      </c>
      <c r="F48" t="s">
        <v>1431</v>
      </c>
      <c r="G48">
        <v>1</v>
      </c>
      <c r="H48">
        <v>0</v>
      </c>
      <c r="I48" t="s">
        <v>1216</v>
      </c>
      <c r="J48">
        <v>0</v>
      </c>
      <c r="K48">
        <v>12306</v>
      </c>
      <c r="L48" t="s">
        <v>1015</v>
      </c>
      <c r="M48" t="s">
        <v>1431</v>
      </c>
      <c r="N48">
        <v>12318</v>
      </c>
      <c r="O48" t="s">
        <v>1016</v>
      </c>
      <c r="P48" t="s">
        <v>1431</v>
      </c>
      <c r="Q48">
        <v>0</v>
      </c>
      <c r="R48" t="e">
        <v>#N/A</v>
      </c>
      <c r="S48" t="e">
        <v>#N/A</v>
      </c>
      <c r="T48">
        <v>0</v>
      </c>
      <c r="U48">
        <v>0</v>
      </c>
      <c r="V48" t="e">
        <v>#N/A</v>
      </c>
      <c r="W48">
        <v>0</v>
      </c>
      <c r="X48">
        <v>0</v>
      </c>
      <c r="Y48" t="e">
        <v>#N/A</v>
      </c>
      <c r="Z48">
        <v>0</v>
      </c>
      <c r="AA48">
        <v>0</v>
      </c>
      <c r="AB48" t="e">
        <v>#N/A</v>
      </c>
      <c r="AC48" t="s">
        <v>1216</v>
      </c>
      <c r="AE48">
        <f t="shared" si="0"/>
        <v>12306</v>
      </c>
      <c r="AF48">
        <f t="shared" si="1"/>
        <v>12318</v>
      </c>
      <c r="AG48">
        <f t="shared" si="2"/>
        <v>0</v>
      </c>
      <c r="AH48">
        <f t="shared" si="3"/>
        <v>0</v>
      </c>
      <c r="AI48">
        <f t="shared" si="4"/>
        <v>0</v>
      </c>
      <c r="AJ48">
        <f t="shared" si="5"/>
        <v>0</v>
      </c>
    </row>
    <row r="49" spans="1:36">
      <c r="A49" t="s">
        <v>14</v>
      </c>
      <c r="B49" t="s">
        <v>14</v>
      </c>
      <c r="C49">
        <v>12108</v>
      </c>
      <c r="D49" s="251" t="s">
        <v>1493</v>
      </c>
      <c r="E49" s="12" t="e">
        <f>VLOOKUP(C:C,#REF!,1,FALSE)</f>
        <v>#REF!</v>
      </c>
      <c r="F49" t="s">
        <v>1430</v>
      </c>
      <c r="G49">
        <v>1</v>
      </c>
      <c r="H49">
        <v>0</v>
      </c>
      <c r="I49" t="s">
        <v>1217</v>
      </c>
      <c r="J49">
        <v>0</v>
      </c>
      <c r="K49">
        <v>12306</v>
      </c>
      <c r="L49" t="s">
        <v>1015</v>
      </c>
      <c r="M49" t="s">
        <v>1431</v>
      </c>
      <c r="N49">
        <v>12318</v>
      </c>
      <c r="O49" t="s">
        <v>1016</v>
      </c>
      <c r="P49" t="s">
        <v>1431</v>
      </c>
      <c r="Q49">
        <v>0</v>
      </c>
      <c r="R49" t="e">
        <v>#N/A</v>
      </c>
      <c r="S49" t="e">
        <v>#N/A</v>
      </c>
      <c r="T49">
        <v>0</v>
      </c>
      <c r="U49">
        <v>0</v>
      </c>
      <c r="V49" t="e">
        <v>#N/A</v>
      </c>
      <c r="W49">
        <v>0</v>
      </c>
      <c r="X49">
        <v>0</v>
      </c>
      <c r="Y49" t="e">
        <v>#N/A</v>
      </c>
      <c r="Z49">
        <v>0</v>
      </c>
      <c r="AA49">
        <v>0</v>
      </c>
      <c r="AB49" t="e">
        <v>#N/A</v>
      </c>
      <c r="AC49" t="s">
        <v>1217</v>
      </c>
      <c r="AE49">
        <f t="shared" si="0"/>
        <v>12306</v>
      </c>
      <c r="AF49">
        <f t="shared" si="1"/>
        <v>12318</v>
      </c>
      <c r="AG49">
        <f t="shared" si="2"/>
        <v>0</v>
      </c>
      <c r="AH49">
        <f t="shared" si="3"/>
        <v>0</v>
      </c>
      <c r="AI49">
        <f t="shared" si="4"/>
        <v>0</v>
      </c>
      <c r="AJ49">
        <f t="shared" si="5"/>
        <v>0</v>
      </c>
    </row>
    <row r="50" spans="1:36">
      <c r="A50" t="s">
        <v>14</v>
      </c>
      <c r="B50" t="s">
        <v>14</v>
      </c>
      <c r="C50">
        <v>118033</v>
      </c>
      <c r="D50" s="251" t="s">
        <v>1494</v>
      </c>
      <c r="E50" s="12" t="e">
        <f>VLOOKUP(C:C,#REF!,1,FALSE)</f>
        <v>#REF!</v>
      </c>
      <c r="F50" t="s">
        <v>1430</v>
      </c>
      <c r="G50">
        <v>1</v>
      </c>
      <c r="H50">
        <v>1</v>
      </c>
      <c r="I50" t="s">
        <v>1215</v>
      </c>
      <c r="J50">
        <v>0</v>
      </c>
      <c r="K50">
        <v>12306</v>
      </c>
      <c r="L50" t="s">
        <v>1015</v>
      </c>
      <c r="M50" t="s">
        <v>1431</v>
      </c>
      <c r="N50">
        <v>12318</v>
      </c>
      <c r="O50" t="s">
        <v>1016</v>
      </c>
      <c r="P50" t="s">
        <v>1431</v>
      </c>
      <c r="Q50">
        <v>0</v>
      </c>
      <c r="R50" t="e">
        <v>#N/A</v>
      </c>
      <c r="S50" t="e">
        <v>#N/A</v>
      </c>
      <c r="T50">
        <v>0</v>
      </c>
      <c r="U50">
        <v>0</v>
      </c>
      <c r="V50" t="e">
        <v>#N/A</v>
      </c>
      <c r="W50">
        <v>0</v>
      </c>
      <c r="X50">
        <v>0</v>
      </c>
      <c r="Y50" t="e">
        <v>#N/A</v>
      </c>
      <c r="Z50">
        <v>0</v>
      </c>
      <c r="AA50">
        <v>0</v>
      </c>
      <c r="AB50" t="e">
        <v>#N/A</v>
      </c>
      <c r="AC50" t="s">
        <v>1215</v>
      </c>
      <c r="AE50">
        <f t="shared" si="0"/>
        <v>12306</v>
      </c>
      <c r="AF50">
        <f t="shared" si="1"/>
        <v>12318</v>
      </c>
      <c r="AG50">
        <f t="shared" si="2"/>
        <v>0</v>
      </c>
      <c r="AH50">
        <f t="shared" si="3"/>
        <v>0</v>
      </c>
      <c r="AI50">
        <f t="shared" si="4"/>
        <v>0</v>
      </c>
      <c r="AJ50">
        <f t="shared" si="5"/>
        <v>0</v>
      </c>
    </row>
    <row r="51" spans="1:36">
      <c r="A51" t="s">
        <v>14</v>
      </c>
      <c r="B51" t="s">
        <v>14</v>
      </c>
      <c r="C51">
        <v>118120</v>
      </c>
      <c r="D51" s="251" t="s">
        <v>1495</v>
      </c>
      <c r="E51" s="12" t="e">
        <f>VLOOKUP(C:C,#REF!,1,FALSE)</f>
        <v>#REF!</v>
      </c>
      <c r="F51" t="s">
        <v>1430</v>
      </c>
      <c r="G51">
        <v>1</v>
      </c>
      <c r="H51">
        <v>1</v>
      </c>
      <c r="I51" t="s">
        <v>1216</v>
      </c>
      <c r="J51">
        <v>0</v>
      </c>
      <c r="K51">
        <v>12306</v>
      </c>
      <c r="L51" t="s">
        <v>1015</v>
      </c>
      <c r="M51" t="s">
        <v>1431</v>
      </c>
      <c r="N51">
        <v>12318</v>
      </c>
      <c r="O51" t="s">
        <v>1016</v>
      </c>
      <c r="P51" t="s">
        <v>1431</v>
      </c>
      <c r="Q51">
        <v>0</v>
      </c>
      <c r="R51" t="e">
        <v>#N/A</v>
      </c>
      <c r="S51" t="e">
        <v>#N/A</v>
      </c>
      <c r="T51">
        <v>0</v>
      </c>
      <c r="U51">
        <v>0</v>
      </c>
      <c r="V51" t="e">
        <v>#N/A</v>
      </c>
      <c r="W51">
        <v>0</v>
      </c>
      <c r="X51">
        <v>0</v>
      </c>
      <c r="Y51" t="e">
        <v>#N/A</v>
      </c>
      <c r="Z51">
        <v>0</v>
      </c>
      <c r="AA51">
        <v>0</v>
      </c>
      <c r="AB51" t="e">
        <v>#N/A</v>
      </c>
      <c r="AC51" t="s">
        <v>1216</v>
      </c>
      <c r="AE51">
        <f t="shared" si="0"/>
        <v>12306</v>
      </c>
      <c r="AF51">
        <f t="shared" si="1"/>
        <v>12318</v>
      </c>
      <c r="AG51">
        <f t="shared" si="2"/>
        <v>0</v>
      </c>
      <c r="AH51">
        <f t="shared" si="3"/>
        <v>0</v>
      </c>
      <c r="AI51">
        <f t="shared" si="4"/>
        <v>0</v>
      </c>
      <c r="AJ51">
        <f t="shared" si="5"/>
        <v>0</v>
      </c>
    </row>
    <row r="52" spans="1:36">
      <c r="A52" t="s">
        <v>14</v>
      </c>
      <c r="B52" t="s">
        <v>14</v>
      </c>
      <c r="C52">
        <v>118121</v>
      </c>
      <c r="D52" s="251" t="s">
        <v>1496</v>
      </c>
      <c r="E52" s="12" t="e">
        <f>VLOOKUP(C:C,#REF!,1,FALSE)</f>
        <v>#REF!</v>
      </c>
      <c r="F52" t="s">
        <v>1430</v>
      </c>
      <c r="G52">
        <v>1</v>
      </c>
      <c r="H52">
        <v>1</v>
      </c>
      <c r="I52" t="s">
        <v>1217</v>
      </c>
      <c r="J52">
        <v>0</v>
      </c>
      <c r="K52">
        <v>12306</v>
      </c>
      <c r="L52" t="s">
        <v>1015</v>
      </c>
      <c r="M52" t="s">
        <v>1431</v>
      </c>
      <c r="N52">
        <v>12318</v>
      </c>
      <c r="O52" t="s">
        <v>1016</v>
      </c>
      <c r="P52" t="s">
        <v>1431</v>
      </c>
      <c r="Q52">
        <v>0</v>
      </c>
      <c r="R52" t="e">
        <v>#N/A</v>
      </c>
      <c r="S52" t="e">
        <v>#N/A</v>
      </c>
      <c r="T52">
        <v>0</v>
      </c>
      <c r="U52">
        <v>0</v>
      </c>
      <c r="V52" t="e">
        <v>#N/A</v>
      </c>
      <c r="W52">
        <v>0</v>
      </c>
      <c r="X52">
        <v>0</v>
      </c>
      <c r="Y52" t="e">
        <v>#N/A</v>
      </c>
      <c r="Z52">
        <v>0</v>
      </c>
      <c r="AA52">
        <v>0</v>
      </c>
      <c r="AB52" t="e">
        <v>#N/A</v>
      </c>
      <c r="AC52" t="s">
        <v>1217</v>
      </c>
      <c r="AE52">
        <f t="shared" si="0"/>
        <v>12306</v>
      </c>
      <c r="AF52">
        <f t="shared" si="1"/>
        <v>12318</v>
      </c>
      <c r="AG52">
        <f t="shared" si="2"/>
        <v>0</v>
      </c>
      <c r="AH52">
        <f t="shared" si="3"/>
        <v>0</v>
      </c>
      <c r="AI52">
        <f t="shared" si="4"/>
        <v>0</v>
      </c>
      <c r="AJ52">
        <f t="shared" si="5"/>
        <v>0</v>
      </c>
    </row>
    <row r="53" spans="1:36">
      <c r="A53" t="s">
        <v>14</v>
      </c>
      <c r="B53" t="s">
        <v>14</v>
      </c>
      <c r="C53">
        <v>12109</v>
      </c>
      <c r="D53" s="251" t="s">
        <v>1497</v>
      </c>
      <c r="E53" s="12" t="e">
        <f>VLOOKUP(C:C,#REF!,1,FALSE)</f>
        <v>#REF!</v>
      </c>
      <c r="F53" t="s">
        <v>1430</v>
      </c>
      <c r="G53">
        <v>1</v>
      </c>
      <c r="H53">
        <v>0</v>
      </c>
      <c r="I53" t="s">
        <v>1215</v>
      </c>
      <c r="J53">
        <v>1</v>
      </c>
      <c r="K53">
        <v>12306</v>
      </c>
      <c r="L53" t="s">
        <v>1015</v>
      </c>
      <c r="M53" t="s">
        <v>1431</v>
      </c>
      <c r="N53">
        <v>12318</v>
      </c>
      <c r="O53" t="s">
        <v>1016</v>
      </c>
      <c r="P53" t="s">
        <v>1431</v>
      </c>
      <c r="Q53">
        <v>0</v>
      </c>
      <c r="R53" t="e">
        <v>#N/A</v>
      </c>
      <c r="S53" t="e">
        <v>#N/A</v>
      </c>
      <c r="T53">
        <v>0</v>
      </c>
      <c r="U53">
        <v>0</v>
      </c>
      <c r="V53" t="e">
        <v>#N/A</v>
      </c>
      <c r="W53">
        <v>0</v>
      </c>
      <c r="X53">
        <v>0</v>
      </c>
      <c r="Y53" t="e">
        <v>#N/A</v>
      </c>
      <c r="Z53">
        <v>0</v>
      </c>
      <c r="AA53">
        <v>0</v>
      </c>
      <c r="AB53" t="e">
        <v>#N/A</v>
      </c>
      <c r="AC53" t="s">
        <v>1215</v>
      </c>
      <c r="AE53">
        <f t="shared" si="0"/>
        <v>12306</v>
      </c>
      <c r="AF53">
        <f t="shared" si="1"/>
        <v>12318</v>
      </c>
      <c r="AG53">
        <f t="shared" si="2"/>
        <v>0</v>
      </c>
      <c r="AH53">
        <f t="shared" si="3"/>
        <v>0</v>
      </c>
      <c r="AI53">
        <f t="shared" si="4"/>
        <v>0</v>
      </c>
      <c r="AJ53">
        <f t="shared" si="5"/>
        <v>0</v>
      </c>
    </row>
    <row r="54" spans="1:36">
      <c r="A54" t="s">
        <v>14</v>
      </c>
      <c r="B54" t="s">
        <v>14</v>
      </c>
      <c r="C54">
        <v>13764</v>
      </c>
      <c r="D54" s="251" t="s">
        <v>1498</v>
      </c>
      <c r="E54" s="12" t="e">
        <f>VLOOKUP(C:C,#REF!,1,FALSE)</f>
        <v>#REF!</v>
      </c>
      <c r="F54" t="s">
        <v>1431</v>
      </c>
      <c r="G54">
        <v>1</v>
      </c>
      <c r="H54">
        <v>0</v>
      </c>
      <c r="I54" t="s">
        <v>1215</v>
      </c>
      <c r="J54">
        <v>1</v>
      </c>
      <c r="K54">
        <v>12306</v>
      </c>
      <c r="L54" t="s">
        <v>1015</v>
      </c>
      <c r="M54" t="s">
        <v>1431</v>
      </c>
      <c r="N54">
        <v>12318</v>
      </c>
      <c r="O54" t="s">
        <v>1016</v>
      </c>
      <c r="P54" t="s">
        <v>1431</v>
      </c>
      <c r="Q54">
        <v>0</v>
      </c>
      <c r="R54" t="e">
        <v>#N/A</v>
      </c>
      <c r="S54" t="e">
        <v>#N/A</v>
      </c>
      <c r="T54">
        <v>0</v>
      </c>
      <c r="U54">
        <v>0</v>
      </c>
      <c r="V54" t="e">
        <v>#N/A</v>
      </c>
      <c r="W54">
        <v>0</v>
      </c>
      <c r="X54">
        <v>0</v>
      </c>
      <c r="Y54" t="e">
        <v>#N/A</v>
      </c>
      <c r="Z54">
        <v>0</v>
      </c>
      <c r="AA54">
        <v>0</v>
      </c>
      <c r="AB54" t="e">
        <v>#N/A</v>
      </c>
      <c r="AC54" t="s">
        <v>1215</v>
      </c>
      <c r="AE54">
        <f t="shared" si="0"/>
        <v>12306</v>
      </c>
      <c r="AF54">
        <f t="shared" si="1"/>
        <v>12318</v>
      </c>
      <c r="AG54">
        <f t="shared" si="2"/>
        <v>0</v>
      </c>
      <c r="AH54">
        <f t="shared" si="3"/>
        <v>0</v>
      </c>
      <c r="AI54">
        <f t="shared" si="4"/>
        <v>0</v>
      </c>
      <c r="AJ54">
        <f t="shared" si="5"/>
        <v>0</v>
      </c>
    </row>
    <row r="55" spans="1:36">
      <c r="A55" t="s">
        <v>14</v>
      </c>
      <c r="B55" t="s">
        <v>14</v>
      </c>
      <c r="C55">
        <v>306329</v>
      </c>
      <c r="D55" s="251" t="s">
        <v>1499</v>
      </c>
      <c r="E55" s="12" t="e">
        <f>VLOOKUP(C:C,#REF!,1,FALSE)</f>
        <v>#REF!</v>
      </c>
      <c r="F55" t="s">
        <v>1430</v>
      </c>
      <c r="G55">
        <v>1</v>
      </c>
      <c r="H55">
        <v>0</v>
      </c>
      <c r="I55" t="s">
        <v>1215</v>
      </c>
      <c r="J55">
        <v>0</v>
      </c>
      <c r="K55">
        <v>12306</v>
      </c>
      <c r="L55" t="s">
        <v>1015</v>
      </c>
      <c r="M55" t="s">
        <v>1431</v>
      </c>
      <c r="N55">
        <v>12318</v>
      </c>
      <c r="O55" t="s">
        <v>1016</v>
      </c>
      <c r="P55" t="s">
        <v>1431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51"/>
      <c r="E56" s="251"/>
    </row>
    <row r="57" spans="1:36">
      <c r="D57"/>
      <c r="E57"/>
    </row>
    <row r="58" spans="1:36">
      <c r="D58"/>
      <c r="E58"/>
    </row>
    <row r="59" spans="1:36">
      <c r="D59"/>
      <c r="E59"/>
    </row>
    <row r="60" spans="1:36">
      <c r="D60"/>
      <c r="E60"/>
    </row>
  </sheetData>
  <sheetProtection password="993C" sheet="1" objects="1" scenarios="1"/>
  <autoFilter ref="A1:AJ55" xr:uid="{739FD9C0-0A88-4EBA-AC69-634EC11C85EF}"/>
  <pageMargins left="0.7" right="0.7" top="0.78740157499999996" bottom="0.78740157499999996"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D0A9-24E3-47DA-AE84-E7B802A8E9DA}">
  <sheetPr codeName="List4"/>
  <dimension ref="A1:BH592"/>
  <sheetViews>
    <sheetView zoomScale="70" zoomScaleNormal="70" workbookViewId="0">
      <selection activeCell="AD9" sqref="AD9"/>
    </sheetView>
  </sheetViews>
  <sheetFormatPr defaultColWidth="9.140625" defaultRowHeight="15"/>
  <cols>
    <col min="1" max="1" width="1.42578125" style="1" customWidth="1"/>
    <col min="2" max="2" width="29.42578125" style="1" customWidth="1"/>
    <col min="3" max="4" width="9.140625" style="1" customWidth="1"/>
    <col min="5" max="5" width="14.5703125" style="1" customWidth="1"/>
    <col min="6" max="6" width="3.42578125" style="1" customWidth="1"/>
    <col min="7" max="7" width="9.42578125" style="1" bestFit="1" customWidth="1"/>
    <col min="8" max="8" width="4" style="1" customWidth="1"/>
    <col min="9" max="9" width="3.5703125" style="1" customWidth="1"/>
    <col min="10" max="10" width="2.5703125" style="1" customWidth="1"/>
    <col min="11" max="11" width="4" style="1" customWidth="1"/>
    <col min="12" max="12" width="3.42578125" style="1" customWidth="1"/>
    <col min="13" max="13" width="3.5703125" style="1" customWidth="1"/>
    <col min="14" max="14" width="2" style="1" customWidth="1"/>
    <col min="15" max="15" width="4" style="1" customWidth="1"/>
    <col min="16" max="16" width="5.42578125" style="1" customWidth="1"/>
    <col min="17" max="17" width="1.5703125" style="1" customWidth="1"/>
    <col min="18" max="18" width="4" style="1" customWidth="1"/>
    <col min="19" max="19" width="2.5703125" style="1" customWidth="1"/>
    <col min="20" max="20" width="1.42578125" style="1" customWidth="1"/>
    <col min="21" max="21" width="8.42578125" style="1" bestFit="1" customWidth="1"/>
    <col min="22" max="22" width="1.5703125" style="1" customWidth="1"/>
    <col min="23" max="23" width="3.140625" style="1" customWidth="1"/>
    <col min="24" max="24" width="1.140625" style="1" customWidth="1"/>
    <col min="25" max="25" width="3.5703125" style="1" customWidth="1"/>
    <col min="26" max="26" width="6.5703125" style="1" customWidth="1"/>
    <col min="27" max="27" width="13.5703125" style="1" customWidth="1"/>
    <col min="28" max="28" width="15.5703125" style="1" customWidth="1"/>
    <col min="29" max="29" width="48.140625" style="1" customWidth="1"/>
    <col min="30" max="30" width="22.5703125" style="212" customWidth="1"/>
    <col min="31" max="31" width="9.5703125" style="160" customWidth="1"/>
    <col min="32" max="32" width="26" style="87" customWidth="1"/>
    <col min="33" max="33" width="18.42578125" style="1" customWidth="1"/>
    <col min="34" max="34" width="18.5703125" style="1" customWidth="1"/>
    <col min="35" max="35" width="26.140625" style="1" customWidth="1"/>
    <col min="36" max="36" width="23.42578125" style="1" customWidth="1"/>
    <col min="37" max="37" width="2.140625" style="1" customWidth="1"/>
    <col min="38" max="38" width="18.42578125" style="1" customWidth="1"/>
    <col min="39" max="39" width="21.42578125" style="1" customWidth="1"/>
    <col min="40" max="40" width="28.5703125" style="1" customWidth="1"/>
    <col min="41" max="41" width="51.42578125" style="1" customWidth="1"/>
    <col min="42" max="42" width="8.42578125" style="1" customWidth="1"/>
    <col min="43" max="43" width="18.42578125" style="1" customWidth="1"/>
    <col min="44" max="44" width="9.5703125" style="1" customWidth="1"/>
    <col min="45" max="47" width="18.42578125" style="1" customWidth="1"/>
    <col min="48" max="48" width="17.42578125" style="1" customWidth="1"/>
    <col min="49" max="49" width="18.42578125" style="1" customWidth="1"/>
    <col min="50" max="50" width="7.140625" style="1" customWidth="1"/>
    <col min="51" max="51" width="18.42578125" style="1" customWidth="1"/>
    <col min="52" max="53" width="29" style="211" customWidth="1"/>
    <col min="54" max="54" width="33.42578125" style="1" customWidth="1"/>
    <col min="55" max="55" width="47.42578125" style="1" customWidth="1"/>
    <col min="56" max="56" width="8.140625" style="1" customWidth="1"/>
    <col min="57" max="57" width="8.42578125" style="1" customWidth="1"/>
    <col min="58" max="58" width="43.5703125" style="1" customWidth="1"/>
    <col min="59" max="59" width="37" style="1" customWidth="1"/>
    <col min="60" max="60" width="43.5703125" style="1" customWidth="1"/>
    <col min="61" max="231" width="10.42578125" style="1" customWidth="1"/>
    <col min="232" max="16384" width="9.140625" style="1"/>
  </cols>
  <sheetData>
    <row r="1" spans="2:55" ht="5.25" customHeight="1"/>
    <row r="2" spans="2:55">
      <c r="B2" s="949" t="str">
        <f>Ceny_n!$B$204</f>
        <v>Ceny jsou platné od 1.02.2020/Verze 20.01</v>
      </c>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1"/>
      <c r="AD2" s="213"/>
      <c r="AE2" s="161"/>
    </row>
    <row r="3" spans="2:55" ht="12.75" customHeight="1">
      <c r="B3" s="952" t="str">
        <f>Ceny_n!$B$265</f>
        <v>Běžné rámečky</v>
      </c>
      <c r="C3" s="953"/>
      <c r="D3" s="953"/>
      <c r="E3" s="953"/>
      <c r="F3" s="953"/>
      <c r="G3" s="953"/>
      <c r="H3" s="953"/>
      <c r="I3" s="953"/>
      <c r="J3" s="953"/>
      <c r="K3" s="953"/>
      <c r="L3" s="953"/>
      <c r="M3" s="953"/>
      <c r="N3" s="953"/>
      <c r="O3" s="953"/>
      <c r="P3" s="953"/>
      <c r="Q3" s="953"/>
      <c r="R3" s="953"/>
      <c r="S3" s="953"/>
      <c r="T3" s="953"/>
      <c r="U3" s="953"/>
      <c r="V3" s="953"/>
      <c r="W3" s="953"/>
      <c r="X3" s="953"/>
      <c r="Y3" s="955"/>
      <c r="Z3" s="955"/>
      <c r="AA3" s="955"/>
      <c r="AB3" s="955"/>
      <c r="AC3" s="956"/>
      <c r="AD3" s="214"/>
      <c r="AE3" s="162"/>
    </row>
    <row r="4" spans="2:55" ht="12.75" customHeight="1">
      <c r="B4" s="952"/>
      <c r="C4" s="953"/>
      <c r="D4" s="953"/>
      <c r="E4" s="953"/>
      <c r="F4" s="953"/>
      <c r="G4" s="953"/>
      <c r="H4" s="953"/>
      <c r="I4" s="953"/>
      <c r="J4" s="953"/>
      <c r="K4" s="953"/>
      <c r="L4" s="953"/>
      <c r="M4" s="953"/>
      <c r="N4" s="953"/>
      <c r="O4" s="953"/>
      <c r="P4" s="953"/>
      <c r="Q4" s="953"/>
      <c r="R4" s="953"/>
      <c r="S4" s="953"/>
      <c r="T4" s="953"/>
      <c r="U4" s="953"/>
      <c r="V4" s="953"/>
      <c r="W4" s="953"/>
      <c r="X4" s="953"/>
      <c r="Y4" s="955"/>
      <c r="Z4" s="955"/>
      <c r="AA4" s="955"/>
      <c r="AB4" s="955"/>
      <c r="AC4" s="956"/>
      <c r="AD4" s="214"/>
      <c r="AE4" s="162"/>
    </row>
    <row r="5" spans="2:55" ht="12.75" customHeight="1">
      <c r="B5" s="952"/>
      <c r="C5" s="953"/>
      <c r="D5" s="953"/>
      <c r="E5" s="953"/>
      <c r="F5" s="953"/>
      <c r="G5" s="953"/>
      <c r="H5" s="953"/>
      <c r="I5" s="953"/>
      <c r="J5" s="953"/>
      <c r="K5" s="953"/>
      <c r="L5" s="953"/>
      <c r="M5" s="953"/>
      <c r="N5" s="953"/>
      <c r="O5" s="953"/>
      <c r="P5" s="953"/>
      <c r="Q5" s="953"/>
      <c r="R5" s="953"/>
      <c r="S5" s="953"/>
      <c r="T5" s="953"/>
      <c r="U5" s="953"/>
      <c r="V5" s="953"/>
      <c r="W5" s="953"/>
      <c r="X5" s="953"/>
      <c r="Y5" s="955"/>
      <c r="Z5" s="955"/>
      <c r="AA5" s="955"/>
      <c r="AB5" s="955"/>
      <c r="AC5" s="956"/>
      <c r="AD5" s="214"/>
      <c r="AE5" s="162"/>
      <c r="AF5" s="88"/>
    </row>
    <row r="6" spans="2:55" ht="12.75" customHeight="1">
      <c r="B6" s="952"/>
      <c r="C6" s="953"/>
      <c r="D6" s="953"/>
      <c r="E6" s="953"/>
      <c r="F6" s="953"/>
      <c r="G6" s="953"/>
      <c r="H6" s="953"/>
      <c r="I6" s="953"/>
      <c r="J6" s="953"/>
      <c r="K6" s="953"/>
      <c r="L6" s="953"/>
      <c r="M6" s="953"/>
      <c r="N6" s="953"/>
      <c r="O6" s="953"/>
      <c r="P6" s="953"/>
      <c r="Q6" s="953"/>
      <c r="R6" s="953"/>
      <c r="S6" s="953"/>
      <c r="T6" s="953"/>
      <c r="U6" s="953"/>
      <c r="V6" s="953"/>
      <c r="W6" s="953"/>
      <c r="X6" s="953"/>
      <c r="Y6" s="955"/>
      <c r="Z6" s="955"/>
      <c r="AA6" s="955"/>
      <c r="AB6" s="955"/>
      <c r="AC6" s="956"/>
      <c r="AD6" s="214"/>
      <c r="AE6" s="162"/>
      <c r="AF6" s="88"/>
      <c r="AL6" s="1">
        <v>0</v>
      </c>
    </row>
    <row r="7" spans="2:55" ht="10.5" customHeight="1">
      <c r="B7" s="952"/>
      <c r="C7" s="953"/>
      <c r="D7" s="953"/>
      <c r="E7" s="953"/>
      <c r="F7" s="953"/>
      <c r="G7" s="953"/>
      <c r="H7" s="953"/>
      <c r="I7" s="953"/>
      <c r="J7" s="953"/>
      <c r="K7" s="953"/>
      <c r="L7" s="953"/>
      <c r="M7" s="953"/>
      <c r="N7" s="953"/>
      <c r="O7" s="953"/>
      <c r="P7" s="953"/>
      <c r="Q7" s="953"/>
      <c r="R7" s="953"/>
      <c r="S7" s="953"/>
      <c r="T7" s="953"/>
      <c r="U7" s="953"/>
      <c r="V7" s="953"/>
      <c r="W7" s="953"/>
      <c r="X7" s="953"/>
      <c r="Y7" s="957"/>
      <c r="Z7" s="957"/>
      <c r="AA7" s="957"/>
      <c r="AB7" s="957"/>
      <c r="AC7" s="958"/>
      <c r="AD7" s="214"/>
      <c r="AE7" s="162"/>
      <c r="AF7" s="88"/>
    </row>
    <row r="8" spans="2:55" ht="7.5" customHeight="1">
      <c r="B8" s="130"/>
      <c r="C8" s="131"/>
      <c r="D8" s="131"/>
      <c r="E8" s="131"/>
      <c r="F8" s="131"/>
      <c r="G8" s="131"/>
      <c r="H8" s="131"/>
      <c r="I8" s="131"/>
      <c r="J8" s="131"/>
      <c r="K8" s="131"/>
      <c r="L8" s="131"/>
      <c r="M8" s="131"/>
      <c r="N8" s="131"/>
      <c r="O8" s="131"/>
      <c r="P8" s="131"/>
      <c r="Q8" s="131"/>
      <c r="R8" s="131"/>
      <c r="S8" s="131"/>
      <c r="T8" s="131"/>
      <c r="U8" s="131"/>
      <c r="V8" s="131"/>
      <c r="W8" s="131"/>
      <c r="X8" s="131"/>
      <c r="Y8" s="78"/>
      <c r="Z8" s="78"/>
      <c r="AA8" s="78"/>
      <c r="AB8" s="78"/>
      <c r="AC8" s="86"/>
      <c r="AD8" s="214"/>
      <c r="AE8" s="162"/>
      <c r="AF8" s="88"/>
    </row>
    <row r="9" spans="2:55" ht="15" customHeight="1">
      <c r="B9" s="961" t="str">
        <f>Ceny_n!$B$130</f>
        <v xml:space="preserve">Standardní vrtání otvoru pro misku závěsu je 3 mm od hrany. </v>
      </c>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3"/>
      <c r="AD9" s="214"/>
      <c r="AE9" s="162"/>
      <c r="AF9" s="88"/>
    </row>
    <row r="10" spans="2:55" ht="15" customHeight="1">
      <c r="B10" s="961" t="str">
        <f>Ceny_n!B253</f>
        <v>Standardní vrtání otvorů pro závěsy u všech typů kování Aventos HF, je 100 mm od kraje.</v>
      </c>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3"/>
      <c r="AD10" s="214"/>
      <c r="AE10" s="162"/>
      <c r="AF10" s="88"/>
    </row>
    <row r="11" spans="2:55" ht="15" customHeight="1">
      <c r="B11" s="961" t="str">
        <f>Ceny_n!$B$289</f>
        <v>Uvedené nákresy dvířek jsou znázorněny při pohledu z přední strany.</v>
      </c>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3"/>
      <c r="AD11" s="214"/>
      <c r="AE11" s="162"/>
      <c r="AF11" s="88"/>
    </row>
    <row r="12" spans="2:55" ht="6" customHeight="1">
      <c r="B12" s="96"/>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8"/>
      <c r="AD12" s="215"/>
      <c r="AE12" s="163"/>
      <c r="AF12" s="88"/>
    </row>
    <row r="13" spans="2:55" ht="15.75" customHeight="1">
      <c r="B13" s="974" t="str">
        <f>Ceny_n!$B$213</f>
        <v>Číslo objednávky</v>
      </c>
      <c r="C13" s="975"/>
      <c r="D13" s="975"/>
      <c r="E13" s="975"/>
      <c r="F13" s="976"/>
      <c r="G13" s="977"/>
      <c r="H13" s="977"/>
      <c r="I13" s="977"/>
      <c r="J13" s="977"/>
      <c r="K13" s="977"/>
      <c r="L13" s="977"/>
      <c r="M13" s="977"/>
      <c r="N13" s="977"/>
      <c r="O13" s="977"/>
      <c r="P13" s="977"/>
      <c r="Q13" s="977"/>
      <c r="R13" s="977"/>
      <c r="S13" s="977"/>
      <c r="T13" s="977"/>
      <c r="U13" s="977"/>
      <c r="V13" s="977"/>
      <c r="W13" s="977"/>
      <c r="X13" s="977"/>
      <c r="Y13" s="977"/>
      <c r="Z13" s="978"/>
      <c r="AA13" s="140"/>
      <c r="AB13" s="140"/>
      <c r="AC13" s="98"/>
      <c r="AD13" s="215"/>
      <c r="AE13" s="163"/>
      <c r="AF13" s="88"/>
    </row>
    <row r="14" spans="2:55" ht="15.75" customHeight="1">
      <c r="B14" s="979" t="str">
        <f>Ceny_n!B206</f>
        <v>Zákazník</v>
      </c>
      <c r="C14" s="980"/>
      <c r="D14" s="980"/>
      <c r="E14" s="980"/>
      <c r="F14" s="980"/>
      <c r="G14" s="969"/>
      <c r="H14" s="969"/>
      <c r="I14" s="969"/>
      <c r="J14" s="969"/>
      <c r="K14" s="969"/>
      <c r="L14" s="969"/>
      <c r="M14" s="969"/>
      <c r="N14" s="969"/>
      <c r="O14" s="969"/>
      <c r="P14" s="969"/>
      <c r="Q14" s="969"/>
      <c r="R14" s="969"/>
      <c r="S14" s="969"/>
      <c r="T14" s="969"/>
      <c r="U14" s="969"/>
      <c r="V14" s="969"/>
      <c r="W14" s="969"/>
      <c r="X14" s="969"/>
      <c r="Y14" s="969"/>
      <c r="Z14" s="970"/>
      <c r="AA14" s="141"/>
      <c r="AB14" s="967" t="str">
        <f>Ceny_n!B211</f>
        <v>Sleva na rámečky</v>
      </c>
      <c r="AC14" s="968"/>
      <c r="AD14" s="216"/>
      <c r="AE14" s="164"/>
      <c r="AF14" s="88"/>
      <c r="BC14" s="117"/>
    </row>
    <row r="15" spans="2:55" ht="15.75" customHeight="1">
      <c r="B15" s="979" t="str">
        <f>Ceny_n!B210</f>
        <v>IČ:</v>
      </c>
      <c r="C15" s="980"/>
      <c r="D15" s="980"/>
      <c r="E15" s="980"/>
      <c r="F15" s="980"/>
      <c r="G15" s="971"/>
      <c r="H15" s="972"/>
      <c r="I15" s="972"/>
      <c r="J15" s="972"/>
      <c r="K15" s="972"/>
      <c r="L15" s="972"/>
      <c r="M15" s="972"/>
      <c r="N15" s="972"/>
      <c r="O15" s="972"/>
      <c r="P15" s="972"/>
      <c r="Q15" s="972"/>
      <c r="R15" s="972"/>
      <c r="S15" s="972"/>
      <c r="T15" s="972"/>
      <c r="U15" s="972"/>
      <c r="V15" s="972"/>
      <c r="W15" s="972"/>
      <c r="X15" s="972"/>
      <c r="Y15" s="972"/>
      <c r="Z15" s="973"/>
      <c r="AA15" s="141"/>
      <c r="AB15" s="967"/>
      <c r="AC15" s="968"/>
      <c r="AD15" s="216"/>
      <c r="AE15" s="164"/>
      <c r="AF15" s="88"/>
    </row>
    <row r="16" spans="2:55" ht="15.75" customHeight="1">
      <c r="B16" s="965" t="str">
        <f>Ceny_n!B207</f>
        <v>Kontaktní tel.</v>
      </c>
      <c r="C16" s="966"/>
      <c r="D16" s="966"/>
      <c r="E16" s="966"/>
      <c r="F16" s="966"/>
      <c r="G16" s="971"/>
      <c r="H16" s="972"/>
      <c r="I16" s="972"/>
      <c r="J16" s="972"/>
      <c r="K16" s="972"/>
      <c r="L16" s="972"/>
      <c r="M16" s="972"/>
      <c r="N16" s="972"/>
      <c r="O16" s="972"/>
      <c r="P16" s="972"/>
      <c r="Q16" s="972"/>
      <c r="R16" s="972"/>
      <c r="S16" s="972"/>
      <c r="T16" s="972"/>
      <c r="U16" s="972"/>
      <c r="V16" s="972"/>
      <c r="W16" s="972"/>
      <c r="X16" s="972"/>
      <c r="Y16" s="972"/>
      <c r="Z16" s="973"/>
      <c r="AA16" s="141"/>
      <c r="AB16" s="967"/>
      <c r="AC16" s="968"/>
      <c r="AD16" s="216"/>
      <c r="AE16" s="164"/>
      <c r="AF16" s="88"/>
    </row>
    <row r="17" spans="2:60" ht="16.5" customHeight="1">
      <c r="B17" s="965" t="str">
        <f>Ceny_n!B208</f>
        <v>Kontaktní e-mail</v>
      </c>
      <c r="C17" s="966"/>
      <c r="D17" s="966"/>
      <c r="E17" s="966"/>
      <c r="F17" s="966"/>
      <c r="G17" s="971"/>
      <c r="H17" s="972"/>
      <c r="I17" s="972"/>
      <c r="J17" s="972"/>
      <c r="K17" s="972"/>
      <c r="L17" s="972"/>
      <c r="M17" s="972"/>
      <c r="N17" s="972"/>
      <c r="O17" s="972"/>
      <c r="P17" s="972"/>
      <c r="Q17" s="972"/>
      <c r="R17" s="972"/>
      <c r="S17" s="972"/>
      <c r="T17" s="972"/>
      <c r="U17" s="972"/>
      <c r="V17" s="972"/>
      <c r="W17" s="972"/>
      <c r="X17" s="972"/>
      <c r="Y17" s="972"/>
      <c r="Z17" s="973"/>
      <c r="AA17" s="141"/>
      <c r="AB17" s="967"/>
      <c r="AC17" s="968"/>
      <c r="AD17" s="216"/>
      <c r="AE17" s="164"/>
      <c r="AF17" s="88"/>
    </row>
    <row r="18" spans="2:60" ht="15.75" customHeight="1">
      <c r="B18" s="996" t="str">
        <f>Ceny_n!B209</f>
        <v>Adresa provozovny</v>
      </c>
      <c r="C18" s="997"/>
      <c r="D18" s="997"/>
      <c r="E18" s="997"/>
      <c r="F18" s="997"/>
      <c r="G18" s="982"/>
      <c r="H18" s="983"/>
      <c r="I18" s="983"/>
      <c r="J18" s="983"/>
      <c r="K18" s="983"/>
      <c r="L18" s="983"/>
      <c r="M18" s="983"/>
      <c r="N18" s="983"/>
      <c r="O18" s="983"/>
      <c r="P18" s="983"/>
      <c r="Q18" s="983"/>
      <c r="R18" s="983"/>
      <c r="S18" s="983"/>
      <c r="T18" s="983"/>
      <c r="U18" s="983"/>
      <c r="V18" s="983"/>
      <c r="W18" s="983"/>
      <c r="X18" s="983"/>
      <c r="Y18" s="983"/>
      <c r="Z18" s="984"/>
      <c r="AA18" s="141"/>
      <c r="AB18" s="141"/>
      <c r="AC18" s="77"/>
      <c r="AD18" s="217"/>
      <c r="AE18" s="165"/>
      <c r="AF18" s="88"/>
    </row>
    <row r="19" spans="2:60" ht="9" customHeight="1">
      <c r="B19" s="89"/>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1"/>
      <c r="AD19" s="217"/>
      <c r="AE19" s="165"/>
      <c r="AF19" s="88"/>
    </row>
    <row r="20" spans="2:60" ht="26.25">
      <c r="B20" s="120" t="s">
        <v>0</v>
      </c>
      <c r="C20" s="872" t="str">
        <f>Ceny_n!$B$129</f>
        <v>Rámeček</v>
      </c>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3"/>
      <c r="AD20" s="218"/>
      <c r="AE20" s="166"/>
    </row>
    <row r="21" spans="2:60" ht="15.75" thickBot="1">
      <c r="B21" s="79"/>
      <c r="AC21" s="76"/>
      <c r="AD21" s="227" t="s">
        <v>1192</v>
      </c>
      <c r="AJ21" s="938" t="s">
        <v>1168</v>
      </c>
      <c r="AK21" s="938"/>
    </row>
    <row r="22" spans="2:60" ht="15.75" thickBot="1">
      <c r="B22" s="80"/>
      <c r="D22" s="917" t="str">
        <f>IF(H22=1,AC31,"")</f>
        <v/>
      </c>
      <c r="E22" s="964"/>
      <c r="F22" s="964"/>
      <c r="G22" s="964"/>
      <c r="H22" s="38">
        <f>IF(AG54=3,1,0)</f>
        <v>0</v>
      </c>
      <c r="I22" s="38"/>
      <c r="J22" s="38"/>
      <c r="K22" s="38" t="b">
        <f>IF(AG54=3,IF(AC30=4,1,0))</f>
        <v>0</v>
      </c>
      <c r="L22" s="38"/>
      <c r="M22" s="38" t="b">
        <f>IF(AG54=3,IF(AC30=3,1,0))</f>
        <v>0</v>
      </c>
      <c r="N22" s="38"/>
      <c r="O22" s="38" t="b">
        <f>IF(AG54=3,IF(AC30=4,1,0))</f>
        <v>0</v>
      </c>
      <c r="P22" s="38"/>
      <c r="Q22" s="38"/>
      <c r="R22" s="38">
        <f>IF(AG54=3,1,0)</f>
        <v>0</v>
      </c>
      <c r="S22" s="959" t="str">
        <f>IF(R22=1,AC31,"")</f>
        <v/>
      </c>
      <c r="T22" s="959"/>
      <c r="U22" s="959"/>
      <c r="V22" s="959"/>
      <c r="W22" s="960"/>
      <c r="Y22" s="40"/>
      <c r="AA22" s="985"/>
      <c r="AB22" s="985"/>
      <c r="AC22" s="76"/>
      <c r="AG22" s="231" t="s">
        <v>87</v>
      </c>
      <c r="AH22" s="231" t="s">
        <v>88</v>
      </c>
      <c r="AI22" s="231" t="s">
        <v>89</v>
      </c>
      <c r="AJ22" s="229" t="s">
        <v>6</v>
      </c>
      <c r="AL22" s="231" t="s">
        <v>99</v>
      </c>
      <c r="AM22" s="229" t="s">
        <v>90</v>
      </c>
      <c r="AN22" s="229" t="s">
        <v>109</v>
      </c>
      <c r="AP22" s="231" t="s">
        <v>91</v>
      </c>
      <c r="AR22" s="231" t="s">
        <v>93</v>
      </c>
      <c r="AS22" s="229" t="s">
        <v>92</v>
      </c>
      <c r="BB22" s="1">
        <v>0</v>
      </c>
      <c r="BD22" s="1" t="e">
        <f>IF(ISNA(VLOOKUP(AC28,#REF!,14,FALSE)),2,IF(VLOOKUP(AC28,#REF!,14,FALSE)="N",1,2))</f>
        <v>#REF!</v>
      </c>
      <c r="BE22" s="1" t="e">
        <f>IF(ISNA(IF(AND(AI26=1,AC34=NAHORE),VYKLOP_UP_WIDE,
IF(AND(AI26=1,AC34=DOLE),VYKLOP_DWN_WIDE,
IF(AND(AI26=2,AC34=NAHORE),VYKLOP_UP_SLIM,
IF(AND(AI26=2,AC34=DOLE),VYKLOP_DWN_SLIM,""))))),"",IF(BD22=1,PRAZDNE_1,IF(AND(AI26=1,AC34=NAHORE),VYKLOP_UP_WIDE,
IF(AND(AI26=1,AC34=DOLE),VYKLOP_DWN_WIDE,
IF(AND(AI26=2,AC34=NAHORE),VYKLOP_UP_SLIM,
IF(AND(AI26=2,AC34=DOLE),VYKLOP_DWN_SLIM,""))))))</f>
        <v>#REF!</v>
      </c>
    </row>
    <row r="23" spans="2:60" ht="18" customHeight="1" thickBot="1">
      <c r="B23" s="80"/>
      <c r="D23" s="902" t="str">
        <f>IF(D27=1,AC31,"")</f>
        <v/>
      </c>
      <c r="E23" s="41"/>
      <c r="F23" s="42"/>
      <c r="G23" s="42"/>
      <c r="H23" s="42"/>
      <c r="I23" s="42"/>
      <c r="J23" s="42"/>
      <c r="K23" s="42"/>
      <c r="L23" s="42"/>
      <c r="M23" s="42"/>
      <c r="N23" s="42"/>
      <c r="O23" s="42"/>
      <c r="P23" s="42"/>
      <c r="Q23" s="42"/>
      <c r="R23" s="42"/>
      <c r="S23" s="42"/>
      <c r="T23" s="42"/>
      <c r="U23" s="42"/>
      <c r="V23" s="43"/>
      <c r="W23" s="902" t="str">
        <f>IF(W27=1,AC31,"")</f>
        <v/>
      </c>
      <c r="AA23" s="927" t="str">
        <f>Ceny_n!$B$132</f>
        <v>Typ profilu</v>
      </c>
      <c r="AB23" s="928"/>
      <c r="AC23" s="206" t="s">
        <v>1405</v>
      </c>
      <c r="AD23" s="167" t="s">
        <v>1645</v>
      </c>
      <c r="AE23" s="167"/>
      <c r="AF23" s="87">
        <f>IF(AC27=AV_HL_SD,TYP_RAM,AG28)</f>
        <v>0</v>
      </c>
      <c r="AG23" s="230">
        <f>VLOOKUP(AC23,$B$348:$D$391,2,0)</f>
        <v>352.26</v>
      </c>
      <c r="AH23" s="230">
        <f>AG23*(((L52/1000)+(Y28/1000))*2)</f>
        <v>704.52</v>
      </c>
      <c r="AI23" s="230">
        <f>AH23*AC25</f>
        <v>0</v>
      </c>
      <c r="AJ23" s="228">
        <f>VLOOKUP(AC23,$B$348:$D$391,3,0)</f>
        <v>112.27</v>
      </c>
      <c r="AL23" s="230">
        <f>VLOOKUP(AC23,$B$348:$I$392,AH27,0)</f>
        <v>0</v>
      </c>
      <c r="AM23" s="228">
        <f>AJ23*AC25</f>
        <v>0</v>
      </c>
      <c r="AN23" s="228">
        <f>AL23*AC25</f>
        <v>0</v>
      </c>
      <c r="AP23" s="230">
        <f>VLOOKUP(AC24,$B$403:$C$477,2,0)</f>
        <v>0</v>
      </c>
      <c r="AR23" s="230">
        <f>(L52/1000)*(Y28/1000)*AP23</f>
        <v>0</v>
      </c>
      <c r="AS23" s="228">
        <f>AR23*AC25</f>
        <v>0</v>
      </c>
      <c r="BB23" s="937" t="s">
        <v>1169</v>
      </c>
      <c r="BC23" s="937"/>
      <c r="BD23" s="937"/>
      <c r="BE23" s="937"/>
      <c r="BF23" s="937"/>
      <c r="BG23" s="937"/>
    </row>
    <row r="24" spans="2:60" ht="19.5" thickBot="1">
      <c r="B24" s="80"/>
      <c r="D24" s="902"/>
      <c r="E24" s="44"/>
      <c r="F24" s="45"/>
      <c r="G24" s="45"/>
      <c r="H24" s="45"/>
      <c r="I24" s="45"/>
      <c r="J24" s="45"/>
      <c r="K24" s="45"/>
      <c r="L24" s="45"/>
      <c r="M24" s="45"/>
      <c r="N24" s="45"/>
      <c r="O24" s="45"/>
      <c r="P24" s="45"/>
      <c r="Q24" s="45"/>
      <c r="R24" s="45"/>
      <c r="S24" s="45"/>
      <c r="T24" s="45"/>
      <c r="U24" s="45"/>
      <c r="V24" s="46"/>
      <c r="W24" s="902"/>
      <c r="AA24" s="907" t="str">
        <f>Ceny_n!$B$133</f>
        <v>Typ skla</v>
      </c>
      <c r="AB24" s="908"/>
      <c r="AC24" s="207"/>
      <c r="AD24" s="167" t="s">
        <v>1188</v>
      </c>
      <c r="AE24" s="168"/>
      <c r="AF24" s="1" t="str">
        <f>Ceny_n!$B$199</f>
        <v>Vyberte ze seznamu</v>
      </c>
      <c r="AG24" s="1" t="s">
        <v>220</v>
      </c>
      <c r="AH24" s="1" t="s">
        <v>226</v>
      </c>
      <c r="AI24" s="1" t="s">
        <v>227</v>
      </c>
      <c r="AJ24" s="1" t="s">
        <v>371</v>
      </c>
      <c r="AL24" s="1" t="s">
        <v>29</v>
      </c>
      <c r="BB24" s="178" t="s">
        <v>1051</v>
      </c>
      <c r="BC24" s="179" t="s">
        <v>1057</v>
      </c>
      <c r="BD24" s="182" t="s">
        <v>1078</v>
      </c>
      <c r="BE24" s="182"/>
      <c r="BF24" s="1" t="s">
        <v>1166</v>
      </c>
      <c r="BG24" s="1" t="s">
        <v>1167</v>
      </c>
      <c r="BH24" s="1" t="s">
        <v>1401</v>
      </c>
    </row>
    <row r="25" spans="2:60" ht="19.5" thickBot="1">
      <c r="B25" s="80"/>
      <c r="D25" s="902"/>
      <c r="E25" s="44"/>
      <c r="F25" s="45"/>
      <c r="G25" s="45"/>
      <c r="H25" s="45"/>
      <c r="I25" s="45"/>
      <c r="J25" s="45"/>
      <c r="K25" s="45"/>
      <c r="L25" s="45"/>
      <c r="M25" s="45"/>
      <c r="N25" s="45"/>
      <c r="O25" s="45"/>
      <c r="P25" s="45"/>
      <c r="Q25" s="45"/>
      <c r="R25" s="45"/>
      <c r="S25" s="45"/>
      <c r="T25" s="45"/>
      <c r="U25" s="45"/>
      <c r="V25" s="46"/>
      <c r="W25" s="902"/>
      <c r="AA25" s="907" t="str">
        <f>Ceny_n!$B$134</f>
        <v>Počet kusů</v>
      </c>
      <c r="AB25" s="908"/>
      <c r="AC25" s="207"/>
      <c r="AD25" s="167" t="s">
        <v>1195</v>
      </c>
      <c r="AE25" s="168"/>
      <c r="AF25" s="1" t="str">
        <f>IF(AC23=AF24,"",Ceny!$B$141)</f>
        <v>Závěsy</v>
      </c>
      <c r="AG25" s="1">
        <f>VLOOKUP(AR26,Ceny!$B$847:$D$917,3,0)</f>
        <v>0</v>
      </c>
      <c r="AH25" s="1" t="e">
        <f>VLOOKUP(AW26,Ceny!$B$847:$D$917,3,0)</f>
        <v>#REF!</v>
      </c>
      <c r="AI25" s="1" t="e">
        <f>(AG25+AH25)*AC25*AC30</f>
        <v>#REF!</v>
      </c>
      <c r="AJ25" s="1">
        <f>IF(AC35=0,0,VLOOKUP(AC35,AI49:AY63,13,0))</f>
        <v>0</v>
      </c>
      <c r="AL25" s="1">
        <f>AG45*AC25*AJ25</f>
        <v>0</v>
      </c>
      <c r="AP25" s="938" t="s">
        <v>1162</v>
      </c>
      <c r="AQ25" s="938"/>
      <c r="BB25" s="47" t="e">
        <f t="array" ref="BB25:BB42">IF(AI26=2,PANT_HETTICH_WIDE,PANT_HETTICH_SLIM)</f>
        <v>#REF!</v>
      </c>
      <c r="BC25" s="185" t="e">
        <f t="array" ref="BC25:BC42">IF(AI26=2,PANT_BLUM_WIDE,PANT_BLUM_SLIM)</f>
        <v>#REF!</v>
      </c>
      <c r="BD25" s="47" t="e">
        <f t="array" ref="BD25:BD65">IF(ISNA(IF(AND(AI26=2,AC34=NAHORE),VYKLOP_UP_WIDE,
IF(AND(AI26=2,AC34=DOLE),VYKLOP_DWN_WIDE,
IF(AND(AI26=1,AC34=NAHORE),VYKLOP_UP_SLIM,
IF(AND(AI26=1,AC34=DOLE),VYKLOP_DWN_SLIM,""))))),"",IF(BD22=2,"",IF(AND(AI26=2,AC34=NAHORE),VYKLOP_UP_WIDE,
IF(AND(AI26=2,AC34=DOLE),VYKLOP_DWN_WIDE,
IF(AND(AI26=1,AC34=NAHORE),VYKLOP_UP_SLIM,
IF(AND(AI26=1,AC34=DOLE),VYKLOP_DWN_SLIM,""))))))</f>
        <v>#REF!</v>
      </c>
      <c r="BE25" s="1" t="e">
        <f t="shared" ref="BE25:BE65" si="0">IF(OR(ISNA(BD25),BD25="",BD25=0),"",1)</f>
        <v>#REF!</v>
      </c>
      <c r="BF25" s="47" t="e">
        <f t="array" ref="BF25:BF41">IF(AI26=1,PANT_STRONG_SLIM_BTL,PANT_STRONG_WIDE_BTL)</f>
        <v>#REF!</v>
      </c>
      <c r="BG25" s="47" t="e">
        <f t="array" ref="BG25:BG41">IF(AI26=1,PANT_STRONG_SLIM_STL,PANT_STRONG_WIDE_STL)</f>
        <v>#REF!</v>
      </c>
      <c r="BH25" s="1" t="e">
        <f t="array" ref="BH25:BH41">IF(AI26=1,PANT_STRONG_PLUS_SLIM,PANT_STRONG_SLIM_BTL)</f>
        <v>#REF!</v>
      </c>
    </row>
    <row r="26" spans="2:60" ht="21.75" thickBot="1">
      <c r="B26" s="80"/>
      <c r="D26" s="902"/>
      <c r="E26" s="44"/>
      <c r="F26" s="45"/>
      <c r="G26" s="45"/>
      <c r="H26" s="45"/>
      <c r="I26" s="45"/>
      <c r="J26" s="45"/>
      <c r="K26" s="45"/>
      <c r="L26" s="45"/>
      <c r="M26" s="45"/>
      <c r="N26" s="45"/>
      <c r="O26" s="45"/>
      <c r="P26" s="45"/>
      <c r="Q26" s="45"/>
      <c r="R26" s="45"/>
      <c r="S26" s="45"/>
      <c r="T26" s="45"/>
      <c r="U26" s="45"/>
      <c r="V26" s="46"/>
      <c r="W26" s="902"/>
      <c r="AA26" s="907" t="str">
        <f>Ceny_n!$B$215</f>
        <v>Typ kování</v>
      </c>
      <c r="AB26" s="908"/>
      <c r="AC26" s="207" t="s">
        <v>728</v>
      </c>
      <c r="AD26" s="167" t="s">
        <v>1189</v>
      </c>
      <c r="AE26" s="168"/>
      <c r="AF26" s="87" t="str">
        <f>IF(AC23=AF24,"",AV_HF)</f>
        <v>AVENTOS HF</v>
      </c>
      <c r="AI26" s="1" t="e">
        <f>IF(AC23=AF24,0,VLOOKUP(AC23,#REF!,2,0))</f>
        <v>#REF!</v>
      </c>
      <c r="AJ26" s="193">
        <f>IF(AC26=AV_HF,HOR_DV,
IF(AC26=AV_HF_SD,HOR_DV,
IF(AC26=AV_OST,AV_HK,
IF(AC26=ZAVESY,PRAZDNE_1,""))))</f>
        <v>0</v>
      </c>
      <c r="AK26" s="194">
        <f t="shared" ref="AK26:AK37" si="1">IF(OR(ISNA(AJ26),AJ26=""),"",1)</f>
        <v>1</v>
      </c>
      <c r="AL26" s="799" t="s">
        <v>21</v>
      </c>
      <c r="AM26" s="799"/>
      <c r="AN26" s="799"/>
      <c r="AO26" s="181"/>
      <c r="AP26" s="1" t="e">
        <f>#VALUE!</f>
        <v>#VALUE!</v>
      </c>
      <c r="AR26" s="1">
        <f>AC28</f>
        <v>0</v>
      </c>
      <c r="AS26" s="945" t="s">
        <v>1173</v>
      </c>
      <c r="AT26" s="945"/>
      <c r="AU26" s="1" t="e">
        <f>IF(AE29=AU27,1,IF(AE29=AU28,2,0))</f>
        <v>#REF!</v>
      </c>
      <c r="AW26" s="1" t="e">
        <f>VLOOKUP(AU26,AL27:AS28,6,0)</f>
        <v>#REF!</v>
      </c>
      <c r="BB26" s="48" t="e">
        <v>#REF!</v>
      </c>
      <c r="BC26" s="186" t="e">
        <v>#REF!</v>
      </c>
      <c r="BD26" s="48" t="e">
        <v>#REF!</v>
      </c>
      <c r="BE26" s="1" t="e">
        <f t="shared" si="0"/>
        <v>#REF!</v>
      </c>
      <c r="BF26" s="48" t="e">
        <v>#REF!</v>
      </c>
      <c r="BG26" s="48" t="e">
        <v>#REF!</v>
      </c>
      <c r="BH26" s="1" t="e">
        <v>#REF!</v>
      </c>
    </row>
    <row r="27" spans="2:60" ht="18.75">
      <c r="B27" s="80"/>
      <c r="D27" s="37">
        <f>IF(AG54=2,1,0)</f>
        <v>0</v>
      </c>
      <c r="E27" s="44"/>
      <c r="F27" s="45"/>
      <c r="G27" s="45"/>
      <c r="H27" s="45"/>
      <c r="I27" s="45"/>
      <c r="J27" s="45"/>
      <c r="K27" s="45"/>
      <c r="L27" s="45"/>
      <c r="M27" s="45"/>
      <c r="N27" s="45"/>
      <c r="O27" s="45"/>
      <c r="P27" s="45"/>
      <c r="Q27" s="45"/>
      <c r="R27" s="45"/>
      <c r="S27" s="45"/>
      <c r="T27" s="45"/>
      <c r="U27" s="45"/>
      <c r="V27" s="46"/>
      <c r="W27" s="37">
        <f>IF(AG54=1,1,0)</f>
        <v>0</v>
      </c>
      <c r="AA27" s="907" t="str">
        <f>IF(AC26=AV_HF,POZ_RAM,
IF(AC26=AV_HF_SD,POZ_RAM,
IF(AC26=ZAVESY,VYR_ZAVES,
IF(AC26=AV_OST,TYP_AV,0))))</f>
        <v>Výrobce závěsů</v>
      </c>
      <c r="AB27" s="908"/>
      <c r="AC27" s="208" t="s">
        <v>14</v>
      </c>
      <c r="AD27" s="219" t="s">
        <v>1190</v>
      </c>
      <c r="AE27" s="169"/>
      <c r="AF27" s="87" t="str">
        <f>IF(AC23=AF24,"",AV_HF_SD)</f>
        <v>AVENTOS HF Servo Drive</v>
      </c>
      <c r="AH27" s="1">
        <f>IF(AC26=AV_HF,5,IF(AC26=AV_HF_SD,5,IF(AC26=AV_OST,5,8)))</f>
        <v>8</v>
      </c>
      <c r="AI27" s="190" t="e">
        <f>IF(AI26=1,$B$480,IF(AI26=2,$B$484,0))</f>
        <v>#REF!</v>
      </c>
      <c r="AJ27" s="195" t="str">
        <f>IF(AC26=AV_HF,DOL_DV,
IF(AC26=AV_HF_SD,DOL_DV,
IF(AC26=AV_OST,AV_HK_TIP,
IF(AC26=ZAVESY,BLUM,""))))</f>
        <v>BLUM</v>
      </c>
      <c r="AK27" s="196">
        <f t="shared" si="1"/>
        <v>1</v>
      </c>
      <c r="AL27" s="1">
        <v>1</v>
      </c>
      <c r="AM27" s="1" t="e">
        <f t="shared" ref="AM27:AM36" si="2">IF($AC$27=PRAZDNE_1,AI27,
IF($AC$27=BLUM,BC25,
IF($AC$27=STRONG_INT_TL,AI44,
IF($AC$27=STRONG_BINT_TL,AI40,
IF($AC$27=HETTICH,BB25,
IF($AC$27=STRONGHINGES,BH25))))))</f>
        <v>#REF!</v>
      </c>
      <c r="AN27" s="1" t="e">
        <f t="shared" ref="AN27:AN41" si="3">IF(ISNA(VLOOKUP(AM27,$B$480:$C$615,2,0)),"",VLOOKUP(AM27,$B$480:$C$615,2,0))</f>
        <v>#REF!</v>
      </c>
      <c r="AO27" s="1" t="e">
        <f t="shared" ref="AO27:AO52" si="4">CONCATENATE(AN27," (",AM27,")")</f>
        <v>#REF!</v>
      </c>
      <c r="AP27" s="199" t="e">
        <f t="array" ref="AP27:AP52">IF(OR(AC26=AV_HF,AC26=AV_HF_SD),HF_TYP_2_CILKA,
IF(AC27=AV_HL,TYP_RAM_AV_HL1,
IF(AC27=AV_HL_SD,TYP_RAM_AV_HL,
IF(OR(AC27=AV_HKXS,AC27=AV_HKXS_TIP),UMISTENI_RAM_HKXS,
IF(AC27=HETTICH,T1_PANT_HETTICH,
IF(AC27=BLUM,T1_PANT_BLUM,
IF(AC27=STRONG_BINT_TL,T1_PANT_STRONG_BTL,
IF(AC27=STRONG_INT_TL,T1_PANT_STRONG_STL,PRAZDNE_1))))))))</f>
        <v>#REF!</v>
      </c>
      <c r="AQ27" s="194" t="e">
        <f t="shared" ref="AQ27:AQ52" si="5">IF(OR(ISNA(AP27),AP27=0),"",1)</f>
        <v>#REF!</v>
      </c>
      <c r="AS27" s="202" t="e">
        <f>VLOOKUP(AR26,#REF!,8,0)</f>
        <v>#REF!</v>
      </c>
      <c r="AT27" s="194" t="e">
        <f t="shared" ref="AT27:AT36" si="6">IF(OR(ISNA(AS27),AS27=0),"",1)</f>
        <v>#REF!</v>
      </c>
      <c r="AU27" s="1" t="e">
        <f>IF(OR(ISNA(AS27),AS27=0),PRAZDNE_1,VLOOKUP(AR26,#REF!,5,FALSE))</f>
        <v>#REF!</v>
      </c>
      <c r="BB27" s="48" t="e">
        <v>#REF!</v>
      </c>
      <c r="BC27" s="186" t="e">
        <v>#REF!</v>
      </c>
      <c r="BD27" s="48" t="e">
        <v>#REF!</v>
      </c>
      <c r="BE27" s="1" t="e">
        <f t="shared" si="0"/>
        <v>#REF!</v>
      </c>
      <c r="BF27" s="48" t="e">
        <v>#REF!</v>
      </c>
      <c r="BG27" s="48" t="e">
        <v>#REF!</v>
      </c>
      <c r="BH27" s="1" t="e">
        <v>#REF!</v>
      </c>
    </row>
    <row r="28" spans="2:60" ht="26.25">
      <c r="B28" s="80"/>
      <c r="D28" s="37"/>
      <c r="E28" s="44"/>
      <c r="F28" s="45"/>
      <c r="G28" s="45"/>
      <c r="H28" s="45"/>
      <c r="I28" s="45"/>
      <c r="J28" s="45"/>
      <c r="K28" s="45"/>
      <c r="L28" s="45"/>
      <c r="M28" s="45"/>
      <c r="N28" s="45"/>
      <c r="O28" s="45"/>
      <c r="P28" s="45"/>
      <c r="Q28" s="45"/>
      <c r="R28" s="32"/>
      <c r="S28" s="32"/>
      <c r="T28" s="32"/>
      <c r="U28" s="32"/>
      <c r="V28" s="33"/>
      <c r="W28" s="37"/>
      <c r="Y28" s="932">
        <v>400</v>
      </c>
      <c r="Z28" s="909"/>
      <c r="AA28" s="907" t="e">
        <f>#VALUE!</f>
        <v>#VALUE!</v>
      </c>
      <c r="AB28" s="908"/>
      <c r="AC28" s="234"/>
      <c r="AD28" s="220" t="s">
        <v>1191</v>
      </c>
      <c r="AE28" s="170" t="e">
        <f>IF(AA28=HM_UCH,0,AC28)</f>
        <v>#VALUE!</v>
      </c>
      <c r="AF28" s="87" t="str">
        <f>IF(AC23=AF24,"",AV_OST)</f>
        <v>Aventos ostatní</v>
      </c>
      <c r="AG28" s="1">
        <f>IF(AC27=AV_HL_SD,HM_UCH,IF(AC27=AV_HS_SD,HM_UCH,0))</f>
        <v>0</v>
      </c>
      <c r="AI28" s="191" t="e">
        <f>IF(AI26=1,$B$481,IF(AI26=2,$B$485,0))</f>
        <v>#REF!</v>
      </c>
      <c r="AJ28" s="195" t="str">
        <f>IF(AC26=AV_OST,AV_HK_SD,
IF(AC26=ZAVESY,HETTICH,""))</f>
        <v>HETTICH</v>
      </c>
      <c r="AK28" s="196">
        <f t="shared" si="1"/>
        <v>1</v>
      </c>
      <c r="AL28" s="1">
        <v>2</v>
      </c>
      <c r="AM28" s="1" t="e">
        <f t="shared" si="2"/>
        <v>#REF!</v>
      </c>
      <c r="AN28" s="1" t="e">
        <f t="shared" si="3"/>
        <v>#REF!</v>
      </c>
      <c r="AO28" s="1" t="e">
        <f t="shared" si="4"/>
        <v>#REF!</v>
      </c>
      <c r="AP28" s="200" t="e">
        <v>#REF!</v>
      </c>
      <c r="AQ28" s="196" t="e">
        <f t="shared" si="5"/>
        <v>#REF!</v>
      </c>
      <c r="AS28" s="203" t="e">
        <f>VLOOKUP(AR26,#REF!,9,0)</f>
        <v>#REF!</v>
      </c>
      <c r="AT28" s="196" t="e">
        <f t="shared" si="6"/>
        <v>#REF!</v>
      </c>
      <c r="AU28" s="1" t="e">
        <f>IF(OR(ISNA(AS28),AS28=0),PRAZDNE_1,VLOOKUP(AR27,#REF!,5,FALSE))</f>
        <v>#REF!</v>
      </c>
      <c r="BB28" s="48" t="e">
        <v>#REF!</v>
      </c>
      <c r="BC28" s="186" t="e">
        <v>#REF!</v>
      </c>
      <c r="BD28" s="48" t="e">
        <v>#REF!</v>
      </c>
      <c r="BE28" s="1" t="e">
        <f t="shared" si="0"/>
        <v>#REF!</v>
      </c>
      <c r="BF28" s="48" t="e">
        <v>#REF!</v>
      </c>
      <c r="BG28" s="48" t="e">
        <v>#REF!</v>
      </c>
      <c r="BH28" s="1" t="e">
        <v>#REF!</v>
      </c>
    </row>
    <row r="29" spans="2:60" ht="26.25">
      <c r="B29" s="80"/>
      <c r="D29" s="37"/>
      <c r="E29" s="44"/>
      <c r="F29" s="45"/>
      <c r="G29" s="45"/>
      <c r="H29" s="45"/>
      <c r="I29" s="45"/>
      <c r="J29" s="45"/>
      <c r="K29" s="45"/>
      <c r="L29" s="45"/>
      <c r="M29" s="45"/>
      <c r="N29" s="45"/>
      <c r="O29" s="45"/>
      <c r="P29" s="45"/>
      <c r="Q29" s="45"/>
      <c r="R29" s="34" t="s">
        <v>15</v>
      </c>
      <c r="S29" s="45"/>
      <c r="T29" s="45"/>
      <c r="U29" s="49"/>
      <c r="V29" s="46"/>
      <c r="W29" s="37"/>
      <c r="Y29" s="933"/>
      <c r="Z29" s="909"/>
      <c r="AA29" s="907" t="str">
        <f>IF(AC26=AV_HF,HM_UCH,
IF(AC27=AV_HL,HM_UCH,
IF('Běžné rámečky'!AC27=AV_HL_SD,HM_UCH,
IF(AC26=AV_HF_SD,HM_UCH,
IF(AC26=ZAVESY,TYP_PODL,IF(AC27=AV_HKXS,HM_UCH,0))))))</f>
        <v>Typ podložky</v>
      </c>
      <c r="AB29" s="908"/>
      <c r="AC29" s="208"/>
      <c r="AD29" s="220" t="s">
        <v>1193</v>
      </c>
      <c r="AE29" s="170">
        <f>IF(AA29=HM_UCH,0,AC29)</f>
        <v>0</v>
      </c>
      <c r="AF29" s="87" t="str">
        <f>IF(AC23=$B$372,0,$J$353)</f>
        <v>Závěsy se zvedacím pístem</v>
      </c>
      <c r="AI29" s="191" t="e">
        <f>IF(AI26=1,$B$482,IF(AI26=2,$B$486,0))</f>
        <v>#REF!</v>
      </c>
      <c r="AJ29" s="195" t="str">
        <f>IF(AC26=AV_OST,AV_HL,
IF(AC26=ZAVESY,STRONG_INT_TL,""))</f>
        <v>STRONG s tlumením</v>
      </c>
      <c r="AK29" s="196">
        <f t="shared" si="1"/>
        <v>1</v>
      </c>
      <c r="AL29" s="1">
        <v>3</v>
      </c>
      <c r="AM29" s="1" t="e">
        <f t="shared" si="2"/>
        <v>#REF!</v>
      </c>
      <c r="AN29" s="1" t="e">
        <f t="shared" si="3"/>
        <v>#REF!</v>
      </c>
      <c r="AO29" s="1" t="e">
        <f t="shared" si="4"/>
        <v>#REF!</v>
      </c>
      <c r="AP29" s="200" t="e">
        <v>#REF!</v>
      </c>
      <c r="AQ29" s="196" t="e">
        <f t="shared" si="5"/>
        <v>#REF!</v>
      </c>
      <c r="AS29" s="203" t="e">
        <f>VLOOKUP(AR26,#REF!,10,0)</f>
        <v>#REF!</v>
      </c>
      <c r="AT29" s="196" t="e">
        <f t="shared" si="6"/>
        <v>#REF!</v>
      </c>
      <c r="AU29" s="1" t="e">
        <f>IF(OR(ISNA(AS29),AS29=0),PRAZDNE_1,VLOOKUP(AR28,#REF!,5,FALSE))</f>
        <v>#REF!</v>
      </c>
      <c r="BB29" s="48" t="e">
        <v>#REF!</v>
      </c>
      <c r="BC29" s="186" t="e">
        <v>#REF!</v>
      </c>
      <c r="BD29" s="48" t="e">
        <v>#REF!</v>
      </c>
      <c r="BE29" s="1" t="e">
        <f t="shared" si="0"/>
        <v>#REF!</v>
      </c>
      <c r="BF29" s="48" t="e">
        <v>#REF!</v>
      </c>
      <c r="BG29" s="48" t="e">
        <v>#REF!</v>
      </c>
      <c r="BH29" s="1" t="e">
        <v>#REF!</v>
      </c>
    </row>
    <row r="30" spans="2:60" ht="18" customHeight="1">
      <c r="B30" s="80"/>
      <c r="D30" s="37" t="b">
        <f>IF(AG54=2,IF(AC30=4,1,0))</f>
        <v>0</v>
      </c>
      <c r="E30" s="44"/>
      <c r="F30" s="45"/>
      <c r="G30" s="45"/>
      <c r="H30" s="45"/>
      <c r="I30" s="45"/>
      <c r="J30" s="45"/>
      <c r="K30" s="45"/>
      <c r="L30" s="45"/>
      <c r="M30" s="45"/>
      <c r="N30" s="45"/>
      <c r="O30" s="45"/>
      <c r="P30" s="45"/>
      <c r="Q30" s="45"/>
      <c r="R30" s="45"/>
      <c r="S30" s="50"/>
      <c r="T30" s="51"/>
      <c r="U30" s="49"/>
      <c r="V30" s="46"/>
      <c r="W30" s="37" t="b">
        <f>IF(AG54=1,IF(AC30=4,1,0))</f>
        <v>0</v>
      </c>
      <c r="X30" s="30"/>
      <c r="Y30" s="933"/>
      <c r="Z30" s="909"/>
      <c r="AA30" s="907" t="str">
        <f>IF(AC26=ZAVESY,POC_ZAVES,0)</f>
        <v>Počet závěsu na 1 rámeček</v>
      </c>
      <c r="AB30" s="908"/>
      <c r="AC30" s="207"/>
      <c r="AD30" s="167" t="s">
        <v>1194</v>
      </c>
      <c r="AE30" s="168"/>
      <c r="AI30" s="191" t="e">
        <f>IF(AI26=1,$B$483,IF(AI26=2,$B$487,0))</f>
        <v>#REF!</v>
      </c>
      <c r="AJ30" s="195" t="str">
        <f>IF(AC26=AV_OST,AV_HL_SD,
IF(AC26=ZAVESY,STRONG_BINT_TL,""))</f>
        <v>STRONG bez tlumení</v>
      </c>
      <c r="AK30" s="196">
        <f t="shared" si="1"/>
        <v>1</v>
      </c>
      <c r="AL30" s="1">
        <v>4</v>
      </c>
      <c r="AM30" s="1" t="e">
        <f t="shared" si="2"/>
        <v>#REF!</v>
      </c>
      <c r="AN30" s="1" t="e">
        <f t="shared" si="3"/>
        <v>#REF!</v>
      </c>
      <c r="AO30" s="1" t="e">
        <f t="shared" si="4"/>
        <v>#REF!</v>
      </c>
      <c r="AP30" s="200" t="e">
        <v>#REF!</v>
      </c>
      <c r="AQ30" s="196" t="e">
        <f t="shared" si="5"/>
        <v>#REF!</v>
      </c>
      <c r="AS30" s="203" t="e">
        <f>VLOOKUP(AR26,#REF!,11,0)</f>
        <v>#REF!</v>
      </c>
      <c r="AT30" s="196" t="e">
        <f t="shared" si="6"/>
        <v>#REF!</v>
      </c>
      <c r="BB30" s="48" t="e">
        <v>#REF!</v>
      </c>
      <c r="BC30" s="186" t="e">
        <v>#REF!</v>
      </c>
      <c r="BD30" s="48" t="e">
        <v>#REF!</v>
      </c>
      <c r="BE30" s="1" t="e">
        <f t="shared" si="0"/>
        <v>#REF!</v>
      </c>
      <c r="BF30" s="48" t="e">
        <v>#REF!</v>
      </c>
      <c r="BG30" s="48" t="e">
        <v>#REF!</v>
      </c>
      <c r="BH30" s="1" t="e">
        <v>#REF!</v>
      </c>
    </row>
    <row r="31" spans="2:60" ht="16.5" customHeight="1">
      <c r="B31" s="80"/>
      <c r="D31" s="37"/>
      <c r="E31" s="44"/>
      <c r="F31" s="45"/>
      <c r="G31" s="45"/>
      <c r="H31" s="45"/>
      <c r="I31" s="45"/>
      <c r="J31" s="45"/>
      <c r="K31" s="45"/>
      <c r="L31" s="45"/>
      <c r="M31" s="45"/>
      <c r="N31" s="45"/>
      <c r="O31" s="45"/>
      <c r="P31" s="45"/>
      <c r="Q31" s="45"/>
      <c r="R31" s="45"/>
      <c r="S31" s="903"/>
      <c r="T31" s="51"/>
      <c r="U31" s="49"/>
      <c r="V31" s="46"/>
      <c r="W31" s="37"/>
      <c r="Y31" s="933"/>
      <c r="Z31" s="909"/>
      <c r="AA31" s="907" t="str">
        <f>IF(AC26=ZAVESY,VZD_ZAVES,0)</f>
        <v>Vzdálenost závěsu od kraje</v>
      </c>
      <c r="AB31" s="908"/>
      <c r="AC31" s="209"/>
      <c r="AD31" s="167" t="s">
        <v>1195</v>
      </c>
      <c r="AE31" s="171"/>
      <c r="AF31" s="948"/>
      <c r="AI31" s="191" t="e">
        <f>IF(AI26=2,$B$488,0)</f>
        <v>#REF!</v>
      </c>
      <c r="AJ31" s="195" t="e">
        <f>IF(AC26=AV_OST,AV_HS,
IF(AC26=ZAVESY,
IF(AI26=1,PANT_STRONG_PLUS_SLIM,PANT_STRONG_SLIM_BTL),""))</f>
        <v>#REF!</v>
      </c>
      <c r="AK31" s="196" t="e">
        <f t="shared" si="1"/>
        <v>#REF!</v>
      </c>
      <c r="AL31" s="1">
        <v>5</v>
      </c>
      <c r="AM31" s="1" t="e">
        <f t="shared" si="2"/>
        <v>#REF!</v>
      </c>
      <c r="AN31" s="1" t="e">
        <f t="shared" si="3"/>
        <v>#REF!</v>
      </c>
      <c r="AO31" s="1" t="e">
        <f t="shared" si="4"/>
        <v>#REF!</v>
      </c>
      <c r="AP31" s="200" t="e">
        <v>#REF!</v>
      </c>
      <c r="AQ31" s="196" t="e">
        <f t="shared" si="5"/>
        <v>#REF!</v>
      </c>
      <c r="AS31" s="203" t="e">
        <f>VLOOKUP(AR26,#REF!,12,0)</f>
        <v>#REF!</v>
      </c>
      <c r="AT31" s="196" t="e">
        <f t="shared" si="6"/>
        <v>#REF!</v>
      </c>
      <c r="BB31" s="48" t="e">
        <v>#REF!</v>
      </c>
      <c r="BC31" s="186" t="e">
        <v>#REF!</v>
      </c>
      <c r="BD31" s="48" t="e">
        <v>#REF!</v>
      </c>
      <c r="BE31" s="1" t="e">
        <f t="shared" si="0"/>
        <v>#REF!</v>
      </c>
      <c r="BF31" s="48" t="e">
        <v>#REF!</v>
      </c>
      <c r="BG31" s="48" t="e">
        <v>#REF!</v>
      </c>
      <c r="BH31" s="1" t="e">
        <v>#REF!</v>
      </c>
    </row>
    <row r="32" spans="2:60" ht="16.5" customHeight="1" thickBot="1">
      <c r="B32" s="80"/>
      <c r="D32" s="37"/>
      <c r="E32" s="44"/>
      <c r="F32" s="45"/>
      <c r="G32" s="45"/>
      <c r="H32" s="45"/>
      <c r="I32" s="45"/>
      <c r="J32" s="45"/>
      <c r="K32" s="45"/>
      <c r="L32" s="45"/>
      <c r="M32" s="45"/>
      <c r="N32" s="45"/>
      <c r="O32" s="45"/>
      <c r="P32" s="45"/>
      <c r="Q32" s="45"/>
      <c r="R32" s="45"/>
      <c r="S32" s="931"/>
      <c r="T32" s="51"/>
      <c r="U32" s="49"/>
      <c r="V32" s="46"/>
      <c r="W32" s="37"/>
      <c r="Y32" s="933"/>
      <c r="Z32" s="909"/>
      <c r="AA32" s="188"/>
      <c r="AB32" s="189"/>
      <c r="AC32" s="210"/>
      <c r="AD32" s="221"/>
      <c r="AE32" s="172"/>
      <c r="AF32" s="948"/>
      <c r="AI32" s="192" t="e">
        <f>IF(AI26=2,$B$489,0)</f>
        <v>#REF!</v>
      </c>
      <c r="AJ32" s="195" t="str">
        <f>IF(AC26=AV_OST,AV_HS_SD,"")</f>
        <v/>
      </c>
      <c r="AK32" s="196" t="str">
        <f t="shared" si="1"/>
        <v/>
      </c>
      <c r="AL32" s="1">
        <v>6</v>
      </c>
      <c r="AM32" s="1" t="e">
        <f t="shared" si="2"/>
        <v>#REF!</v>
      </c>
      <c r="AN32" s="1" t="e">
        <f t="shared" si="3"/>
        <v>#REF!</v>
      </c>
      <c r="AO32" s="1" t="e">
        <f t="shared" si="4"/>
        <v>#REF!</v>
      </c>
      <c r="AP32" s="200" t="e">
        <v>#REF!</v>
      </c>
      <c r="AQ32" s="196" t="e">
        <f t="shared" si="5"/>
        <v>#REF!</v>
      </c>
      <c r="AS32" s="203" t="e">
        <f>VLOOKUP(AR26,#REF!,13,0)</f>
        <v>#REF!</v>
      </c>
      <c r="AT32" s="196" t="e">
        <f t="shared" si="6"/>
        <v>#REF!</v>
      </c>
      <c r="BB32" s="48" t="e">
        <v>#REF!</v>
      </c>
      <c r="BC32" s="186" t="e">
        <v>#REF!</v>
      </c>
      <c r="BD32" s="48" t="e">
        <v>#REF!</v>
      </c>
      <c r="BE32" s="1" t="e">
        <f t="shared" si="0"/>
        <v>#REF!</v>
      </c>
      <c r="BF32" s="48" t="e">
        <v>#REF!</v>
      </c>
      <c r="BG32" s="48" t="e">
        <v>#REF!</v>
      </c>
      <c r="BH32" s="1" t="e">
        <v>#REF!</v>
      </c>
    </row>
    <row r="33" spans="2:60" ht="16.5" customHeight="1">
      <c r="B33" s="80"/>
      <c r="D33" s="37"/>
      <c r="E33" s="44"/>
      <c r="F33" s="45"/>
      <c r="G33" s="45"/>
      <c r="H33" s="45"/>
      <c r="I33" s="45"/>
      <c r="J33" s="45"/>
      <c r="K33" s="45"/>
      <c r="L33" s="45"/>
      <c r="M33" s="45"/>
      <c r="N33" s="45"/>
      <c r="O33" s="45"/>
      <c r="P33" s="45"/>
      <c r="Q33" s="45"/>
      <c r="R33" s="45"/>
      <c r="S33" s="931"/>
      <c r="T33" s="51"/>
      <c r="U33" s="49"/>
      <c r="V33" s="46"/>
      <c r="W33" s="37"/>
      <c r="Y33" s="933"/>
      <c r="Z33" s="909"/>
      <c r="AA33" s="188"/>
      <c r="AB33" s="189"/>
      <c r="AC33" s="210"/>
      <c r="AD33" s="221"/>
      <c r="AE33" s="172"/>
      <c r="AF33" s="948"/>
      <c r="AI33" s="190" t="e">
        <f>IF(AI26=1,$B$499,IF(AI26=2,$B$507,0))</f>
        <v>#REF!</v>
      </c>
      <c r="AJ33" s="195" t="str">
        <f>IF(AC26=AV_OST,AV_HKS,"")</f>
        <v/>
      </c>
      <c r="AK33" s="196" t="str">
        <f t="shared" si="1"/>
        <v/>
      </c>
      <c r="AL33" s="1">
        <v>7</v>
      </c>
      <c r="AM33" s="1" t="e">
        <f t="shared" si="2"/>
        <v>#REF!</v>
      </c>
      <c r="AN33" s="1" t="e">
        <f t="shared" si="3"/>
        <v>#REF!</v>
      </c>
      <c r="AO33" s="1" t="e">
        <f t="shared" si="4"/>
        <v>#REF!</v>
      </c>
      <c r="AP33" s="200" t="e">
        <v>#REF!</v>
      </c>
      <c r="AQ33" s="196" t="e">
        <f t="shared" si="5"/>
        <v>#REF!</v>
      </c>
      <c r="AS33" s="203"/>
      <c r="AT33" s="196" t="str">
        <f t="shared" si="6"/>
        <v/>
      </c>
      <c r="BB33" s="48" t="e">
        <v>#REF!</v>
      </c>
      <c r="BC33" s="186" t="e">
        <v>#REF!</v>
      </c>
      <c r="BD33" s="48" t="e">
        <v>#REF!</v>
      </c>
      <c r="BE33" s="1" t="e">
        <f t="shared" si="0"/>
        <v>#REF!</v>
      </c>
      <c r="BF33" s="48" t="e">
        <v>#REF!</v>
      </c>
      <c r="BG33" s="48" t="e">
        <v>#REF!</v>
      </c>
      <c r="BH33" s="1" t="e">
        <v>#REF!</v>
      </c>
    </row>
    <row r="34" spans="2:60" ht="16.5" customHeight="1">
      <c r="B34" s="80"/>
      <c r="D34" s="37" t="b">
        <f>IF(AG54=2,IF(AC30=3,1,0))</f>
        <v>0</v>
      </c>
      <c r="E34" s="44"/>
      <c r="F34" s="45"/>
      <c r="G34" s="45"/>
      <c r="H34" s="45"/>
      <c r="I34" s="45"/>
      <c r="J34" s="45"/>
      <c r="K34" s="45"/>
      <c r="L34" s="45"/>
      <c r="M34" s="45"/>
      <c r="N34" s="45"/>
      <c r="O34" s="45"/>
      <c r="P34" s="45"/>
      <c r="Q34" s="45"/>
      <c r="R34" s="45"/>
      <c r="S34" s="931"/>
      <c r="T34" s="51"/>
      <c r="U34" s="49"/>
      <c r="V34" s="46"/>
      <c r="W34" s="37" t="b">
        <f>IF(AG54=1,IF(AC30=3,1,0))</f>
        <v>0</v>
      </c>
      <c r="Y34" s="933"/>
      <c r="Z34" s="909"/>
      <c r="AA34" s="907" t="str">
        <f>IF(AC26=ZAVESY,Ceny!$B$196,0)</f>
        <v>Umístění závěsů</v>
      </c>
      <c r="AB34" s="908"/>
      <c r="AC34" s="207"/>
      <c r="AD34" s="167" t="s">
        <v>1196</v>
      </c>
      <c r="AE34" s="168"/>
      <c r="AG34" s="1">
        <v>2</v>
      </c>
      <c r="AH34" s="1">
        <f>IF(AC26=ZAVESY,AG34,0)</f>
        <v>2</v>
      </c>
      <c r="AI34" s="191" t="e">
        <f>IF(AI26=1,$B$500,IF(AI26=2,$B$508,0))</f>
        <v>#REF!</v>
      </c>
      <c r="AJ34" s="195" t="str">
        <f>IF(AC26=AV_OST,AV_HKS_TIP,"")</f>
        <v/>
      </c>
      <c r="AK34" s="196" t="str">
        <f t="shared" si="1"/>
        <v/>
      </c>
      <c r="AL34" s="1">
        <v>8</v>
      </c>
      <c r="AM34" s="1" t="e">
        <f t="shared" si="2"/>
        <v>#REF!</v>
      </c>
      <c r="AN34" s="1" t="e">
        <f t="shared" si="3"/>
        <v>#REF!</v>
      </c>
      <c r="AO34" s="1" t="e">
        <f t="shared" si="4"/>
        <v>#REF!</v>
      </c>
      <c r="AP34" s="200" t="e">
        <v>#REF!</v>
      </c>
      <c r="AQ34" s="196" t="e">
        <f t="shared" si="5"/>
        <v>#REF!</v>
      </c>
      <c r="AS34" s="203"/>
      <c r="AT34" s="196" t="str">
        <f t="shared" si="6"/>
        <v/>
      </c>
      <c r="BB34" s="48" t="e">
        <v>#REF!</v>
      </c>
      <c r="BC34" s="186" t="e">
        <v>#REF!</v>
      </c>
      <c r="BD34" s="48" t="e">
        <v>#REF!</v>
      </c>
      <c r="BE34" s="1" t="e">
        <f t="shared" si="0"/>
        <v>#REF!</v>
      </c>
      <c r="BF34" s="48" t="e">
        <v>#REF!</v>
      </c>
      <c r="BG34" s="48" t="e">
        <v>#REF!</v>
      </c>
      <c r="BH34" s="1" t="e">
        <v>#REF!</v>
      </c>
    </row>
    <row r="35" spans="2:60" ht="18" customHeight="1">
      <c r="B35" s="80"/>
      <c r="D35" s="37"/>
      <c r="E35" s="44"/>
      <c r="F35" s="45"/>
      <c r="G35" s="45"/>
      <c r="H35" s="45"/>
      <c r="I35" s="45"/>
      <c r="J35" s="45"/>
      <c r="K35" s="45"/>
      <c r="L35" s="45"/>
      <c r="M35" s="45"/>
      <c r="N35" s="45"/>
      <c r="O35" s="45"/>
      <c r="P35" s="45"/>
      <c r="Q35" s="45"/>
      <c r="R35" s="45"/>
      <c r="S35" s="904"/>
      <c r="T35" s="51"/>
      <c r="U35" s="49"/>
      <c r="V35" s="46"/>
      <c r="W35" s="37"/>
      <c r="Y35" s="933"/>
      <c r="Z35" s="909"/>
      <c r="AA35" s="907" t="e">
        <f>IF(AG54=1,0,IF(AG54=2,0,IF(AC26=ZAVESY,IF(BD22=2,0,Ceny!$B$184),0)))</f>
        <v>#REF!</v>
      </c>
      <c r="AB35" s="908"/>
      <c r="AC35" s="152"/>
      <c r="AD35" s="167" t="s">
        <v>1197</v>
      </c>
      <c r="AE35" s="168"/>
      <c r="AF35" s="87" t="b">
        <v>1</v>
      </c>
      <c r="AG35" s="1">
        <v>3</v>
      </c>
      <c r="AH35" s="1">
        <f>IF(AC26=ZAVESY,AG35,0)</f>
        <v>3</v>
      </c>
      <c r="AI35" s="191" t="e">
        <f>IF(AI26=1,$B$501,IF(AI26=2,$B$509,0))</f>
        <v>#REF!</v>
      </c>
      <c r="AJ35" s="195" t="str">
        <f>IF(AC26=AV_OST,AV_HKXS,"")</f>
        <v/>
      </c>
      <c r="AK35" s="196" t="str">
        <f t="shared" si="1"/>
        <v/>
      </c>
      <c r="AL35" s="1">
        <v>9</v>
      </c>
      <c r="AM35" s="1" t="e">
        <f t="shared" si="2"/>
        <v>#REF!</v>
      </c>
      <c r="AN35" s="1" t="e">
        <f t="shared" si="3"/>
        <v>#REF!</v>
      </c>
      <c r="AO35" s="1" t="e">
        <f t="shared" si="4"/>
        <v>#REF!</v>
      </c>
      <c r="AP35" s="200" t="e">
        <v>#REF!</v>
      </c>
      <c r="AQ35" s="196" t="e">
        <f t="shared" si="5"/>
        <v>#REF!</v>
      </c>
      <c r="AS35" s="203"/>
      <c r="AT35" s="196" t="str">
        <f t="shared" si="6"/>
        <v/>
      </c>
      <c r="BB35" s="48" t="e">
        <v>#REF!</v>
      </c>
      <c r="BC35" s="186" t="e">
        <v>#REF!</v>
      </c>
      <c r="BD35" s="48" t="e">
        <v>#REF!</v>
      </c>
      <c r="BE35" s="1" t="e">
        <f t="shared" si="0"/>
        <v>#REF!</v>
      </c>
      <c r="BF35" s="48" t="e">
        <v>#REF!</v>
      </c>
      <c r="BG35" s="48" t="e">
        <v>#REF!</v>
      </c>
      <c r="BH35" s="1" t="e">
        <v>#REF!</v>
      </c>
    </row>
    <row r="36" spans="2:60" ht="18" customHeight="1" thickBot="1">
      <c r="B36" s="80"/>
      <c r="D36" s="37" t="b">
        <f>IF(AG54=2,IF(AC30=4,1,0))</f>
        <v>0</v>
      </c>
      <c r="E36" s="44"/>
      <c r="F36" s="45"/>
      <c r="G36" s="45"/>
      <c r="H36" s="45"/>
      <c r="I36" s="45"/>
      <c r="J36" s="45"/>
      <c r="K36" s="45"/>
      <c r="L36" s="45"/>
      <c r="M36" s="45"/>
      <c r="N36" s="45"/>
      <c r="O36" s="45"/>
      <c r="P36" s="45"/>
      <c r="Q36" s="45"/>
      <c r="R36" s="45"/>
      <c r="S36" s="51"/>
      <c r="T36" s="51"/>
      <c r="U36" s="49"/>
      <c r="V36" s="46"/>
      <c r="W36" s="37" t="b">
        <f>IF(AG54=1,IF(AC30=4,1,0))</f>
        <v>0</v>
      </c>
      <c r="Y36" s="943" t="str">
        <f>Ceny_n!$B$136</f>
        <v>Výška</v>
      </c>
      <c r="Z36" s="909"/>
      <c r="AA36" s="946">
        <f>IF(AC35=0,0,Ceny!$B$186)</f>
        <v>0</v>
      </c>
      <c r="AB36" s="947"/>
      <c r="AC36" s="153"/>
      <c r="AD36" s="167" t="s">
        <v>1198</v>
      </c>
      <c r="AE36" s="168"/>
      <c r="AG36" s="1">
        <v>4</v>
      </c>
      <c r="AH36" s="1">
        <f>IF(AC26=ZAVESY,AG36,0)</f>
        <v>4</v>
      </c>
      <c r="AI36" s="191" t="e">
        <f>IF(AI26=1,$B$502,IF(AI26=2,$B$510,0))</f>
        <v>#REF!</v>
      </c>
      <c r="AJ36" s="197" t="str">
        <f>IF(AC26=AV_OST,AV_HKXS_TIP,"")</f>
        <v/>
      </c>
      <c r="AK36" s="198" t="str">
        <f t="shared" si="1"/>
        <v/>
      </c>
      <c r="AL36" s="1">
        <v>10</v>
      </c>
      <c r="AM36" s="1" t="e">
        <f t="shared" si="2"/>
        <v>#REF!</v>
      </c>
      <c r="AN36" s="1" t="e">
        <f t="shared" si="3"/>
        <v>#REF!</v>
      </c>
      <c r="AO36" s="1" t="e">
        <f t="shared" si="4"/>
        <v>#REF!</v>
      </c>
      <c r="AP36" s="200" t="e">
        <v>#REF!</v>
      </c>
      <c r="AQ36" s="196" t="e">
        <f t="shared" si="5"/>
        <v>#REF!</v>
      </c>
      <c r="AS36" s="204"/>
      <c r="AT36" s="198" t="str">
        <f t="shared" si="6"/>
        <v/>
      </c>
      <c r="BB36" s="48" t="e">
        <v>#REF!</v>
      </c>
      <c r="BC36" s="186" t="e">
        <v>#REF!</v>
      </c>
      <c r="BD36" s="48" t="e">
        <v>#REF!</v>
      </c>
      <c r="BE36" s="1" t="e">
        <f t="shared" si="0"/>
        <v>#REF!</v>
      </c>
      <c r="BF36" s="48" t="e">
        <v>#REF!</v>
      </c>
      <c r="BG36" s="48" t="e">
        <v>#REF!</v>
      </c>
      <c r="BH36" s="1" t="e">
        <v>#REF!</v>
      </c>
    </row>
    <row r="37" spans="2:60" ht="7.5" customHeight="1">
      <c r="B37" s="80"/>
      <c r="D37" s="37"/>
      <c r="E37" s="44"/>
      <c r="F37" s="45"/>
      <c r="G37" s="45"/>
      <c r="H37" s="45"/>
      <c r="I37" s="45"/>
      <c r="J37" s="45"/>
      <c r="K37" s="45"/>
      <c r="L37" s="45"/>
      <c r="M37" s="45"/>
      <c r="N37" s="45"/>
      <c r="O37" s="45"/>
      <c r="P37" s="45"/>
      <c r="Q37" s="45"/>
      <c r="R37" s="45"/>
      <c r="S37" s="51"/>
      <c r="T37" s="51"/>
      <c r="U37" s="49"/>
      <c r="V37" s="46"/>
      <c r="W37" s="37"/>
      <c r="Y37" s="943"/>
      <c r="Z37" s="909"/>
      <c r="AA37" s="934"/>
      <c r="AB37" s="921" t="str">
        <f>Ceny_n!$B$185</f>
        <v>Dodat včetně uvedeného kování</v>
      </c>
      <c r="AC37" s="922"/>
      <c r="AD37" s="222"/>
      <c r="AE37" s="173"/>
      <c r="AG37" s="1">
        <v>5</v>
      </c>
      <c r="AH37" s="1">
        <f>IF(AC26=ZAVESY,AG37,0)</f>
        <v>5</v>
      </c>
      <c r="AI37" s="48" t="e">
        <f>IF(AI26=1,$B$503,IF(AI26=2,$B$511,0))</f>
        <v>#REF!</v>
      </c>
      <c r="AK37" s="1" t="str">
        <f t="shared" si="1"/>
        <v/>
      </c>
      <c r="AL37" s="1">
        <v>11</v>
      </c>
      <c r="AM37" s="1" t="e">
        <f>IF(AC27=HETTICH,BB35,IF(AC27=BLUM,BC35,))</f>
        <v>#REF!</v>
      </c>
      <c r="AN37" s="1" t="e">
        <f t="shared" si="3"/>
        <v>#REF!</v>
      </c>
      <c r="AO37" s="1" t="e">
        <f t="shared" si="4"/>
        <v>#REF!</v>
      </c>
      <c r="AP37" s="200" t="e">
        <v>#REF!</v>
      </c>
      <c r="AQ37" s="196" t="e">
        <f t="shared" si="5"/>
        <v>#REF!</v>
      </c>
      <c r="BB37" s="48" t="e">
        <v>#REF!</v>
      </c>
      <c r="BC37" s="186" t="e">
        <v>#REF!</v>
      </c>
      <c r="BD37" s="48" t="e">
        <v>#REF!</v>
      </c>
      <c r="BE37" s="1" t="e">
        <f t="shared" si="0"/>
        <v>#REF!</v>
      </c>
      <c r="BF37" s="48" t="e">
        <v>#REF!</v>
      </c>
      <c r="BG37" s="48" t="e">
        <v>#REF!</v>
      </c>
      <c r="BH37" s="1" t="e">
        <v>#REF!</v>
      </c>
    </row>
    <row r="38" spans="2:60" ht="15.6" customHeight="1">
      <c r="B38" s="80"/>
      <c r="D38" s="37"/>
      <c r="E38" s="44"/>
      <c r="F38" s="45"/>
      <c r="G38" s="45"/>
      <c r="H38" s="45"/>
      <c r="I38" s="45"/>
      <c r="J38" s="45"/>
      <c r="K38" s="45"/>
      <c r="L38" s="45"/>
      <c r="M38" s="45"/>
      <c r="N38" s="45"/>
      <c r="O38" s="45"/>
      <c r="P38" s="45"/>
      <c r="Q38" s="45"/>
      <c r="R38" s="45"/>
      <c r="S38" s="45"/>
      <c r="T38" s="45"/>
      <c r="U38" s="45"/>
      <c r="V38" s="46"/>
      <c r="W38" s="37"/>
      <c r="Y38" s="943"/>
      <c r="Z38" s="909"/>
      <c r="AA38" s="935"/>
      <c r="AB38" s="923"/>
      <c r="AC38" s="924"/>
      <c r="AD38" s="222"/>
      <c r="AE38" s="173"/>
      <c r="AI38" s="48" t="e">
        <f>IF(AI26=1,$B$504,IF(AI26=2,$B$513,0))</f>
        <v>#REF!</v>
      </c>
      <c r="AL38" s="1">
        <v>12</v>
      </c>
      <c r="AM38" s="1" t="e">
        <f>IF(AC27=HETTICH,BB36,IF(AC27=BLUM,BC36,""))</f>
        <v>#REF!</v>
      </c>
      <c r="AN38" s="1" t="e">
        <f t="shared" si="3"/>
        <v>#REF!</v>
      </c>
      <c r="AO38" s="1" t="e">
        <f t="shared" si="4"/>
        <v>#REF!</v>
      </c>
      <c r="AP38" s="200" t="e">
        <v>#REF!</v>
      </c>
      <c r="AQ38" s="196" t="e">
        <f t="shared" si="5"/>
        <v>#REF!</v>
      </c>
      <c r="BB38" s="48" t="e">
        <v>#REF!</v>
      </c>
      <c r="BC38" s="186" t="e">
        <v>#REF!</v>
      </c>
      <c r="BD38" s="48" t="e">
        <v>#REF!</v>
      </c>
      <c r="BE38" s="1" t="e">
        <f t="shared" si="0"/>
        <v>#REF!</v>
      </c>
      <c r="BF38" s="48" t="e">
        <v>#REF!</v>
      </c>
      <c r="BG38" s="48" t="e">
        <v>#REF!</v>
      </c>
      <c r="BH38" s="1" t="e">
        <v>#REF!</v>
      </c>
    </row>
    <row r="39" spans="2:60" ht="12" customHeight="1" thickBot="1">
      <c r="B39" s="80"/>
      <c r="D39" s="37"/>
      <c r="E39" s="44"/>
      <c r="F39" s="45"/>
      <c r="G39" s="45"/>
      <c r="H39" s="45"/>
      <c r="I39" s="45"/>
      <c r="J39" s="45"/>
      <c r="K39" s="45"/>
      <c r="L39" s="45"/>
      <c r="M39" s="45"/>
      <c r="N39" s="45"/>
      <c r="O39" s="45"/>
      <c r="P39" s="45"/>
      <c r="Q39" s="45"/>
      <c r="R39" s="45"/>
      <c r="S39" s="45"/>
      <c r="T39" s="45"/>
      <c r="U39" s="939"/>
      <c r="V39" s="46"/>
      <c r="W39" s="37"/>
      <c r="Y39" s="943"/>
      <c r="Z39" s="909"/>
      <c r="AA39" s="935"/>
      <c r="AB39" s="923"/>
      <c r="AC39" s="924"/>
      <c r="AD39" s="222"/>
      <c r="AE39" s="173"/>
      <c r="AI39" s="52" t="e">
        <f>IF(AI26=1,$B$506,0)</f>
        <v>#REF!</v>
      </c>
      <c r="AL39" s="1">
        <v>13</v>
      </c>
      <c r="AM39" s="180"/>
      <c r="AN39" s="1" t="str">
        <f t="shared" si="3"/>
        <v/>
      </c>
      <c r="AO39" s="1" t="str">
        <f t="shared" si="4"/>
        <v xml:space="preserve"> ()</v>
      </c>
      <c r="AP39" s="200" t="e">
        <v>#REF!</v>
      </c>
      <c r="AQ39" s="196" t="e">
        <f t="shared" si="5"/>
        <v>#REF!</v>
      </c>
      <c r="BB39" s="48" t="e">
        <v>#REF!</v>
      </c>
      <c r="BC39" s="186" t="e">
        <v>#REF!</v>
      </c>
      <c r="BD39" s="48" t="e">
        <v>#REF!</v>
      </c>
      <c r="BE39" s="1" t="e">
        <f t="shared" si="0"/>
        <v>#REF!</v>
      </c>
      <c r="BF39" s="48" t="e">
        <v>#REF!</v>
      </c>
      <c r="BG39" s="48" t="e">
        <v>#REF!</v>
      </c>
      <c r="BH39" s="1" t="e">
        <v>#REF!</v>
      </c>
    </row>
    <row r="40" spans="2:60" ht="1.5" customHeight="1">
      <c r="B40" s="80"/>
      <c r="D40" s="37"/>
      <c r="E40" s="44"/>
      <c r="F40" s="45"/>
      <c r="G40" s="45"/>
      <c r="H40" s="45"/>
      <c r="I40" s="45"/>
      <c r="J40" s="45"/>
      <c r="K40" s="45"/>
      <c r="L40" s="45"/>
      <c r="M40" s="45"/>
      <c r="N40" s="45"/>
      <c r="O40" s="45"/>
      <c r="P40" s="45"/>
      <c r="Q40" s="45"/>
      <c r="R40" s="45"/>
      <c r="S40" s="45"/>
      <c r="T40" s="45"/>
      <c r="U40" s="940"/>
      <c r="V40" s="46"/>
      <c r="W40" s="37"/>
      <c r="Y40" s="943"/>
      <c r="Z40" s="909"/>
      <c r="AA40" s="936"/>
      <c r="AB40" s="925"/>
      <c r="AC40" s="926"/>
      <c r="AD40" s="222"/>
      <c r="AE40" s="173"/>
      <c r="AI40" s="47" t="e">
        <f>IF(AI26=2,$B$520,0)</f>
        <v>#REF!</v>
      </c>
      <c r="AL40" s="1">
        <v>14</v>
      </c>
      <c r="AN40" s="1" t="str">
        <f t="shared" si="3"/>
        <v/>
      </c>
      <c r="AO40" s="1" t="str">
        <f t="shared" si="4"/>
        <v xml:space="preserve"> ()</v>
      </c>
      <c r="AP40" s="200" t="e">
        <v>#REF!</v>
      </c>
      <c r="AQ40" s="196" t="e">
        <f t="shared" si="5"/>
        <v>#REF!</v>
      </c>
      <c r="BB40" s="48" t="e">
        <v>#REF!</v>
      </c>
      <c r="BC40" s="186" t="e">
        <v>#REF!</v>
      </c>
      <c r="BD40" s="48" t="e">
        <v>#REF!</v>
      </c>
      <c r="BE40" s="1" t="e">
        <f t="shared" si="0"/>
        <v>#REF!</v>
      </c>
      <c r="BF40" s="48" t="e">
        <v>#REF!</v>
      </c>
      <c r="BG40" s="48" t="e">
        <v>#REF!</v>
      </c>
      <c r="BH40" s="1" t="e">
        <v>#REF!</v>
      </c>
    </row>
    <row r="41" spans="2:60" ht="27" thickBot="1">
      <c r="B41" s="80"/>
      <c r="D41" s="37"/>
      <c r="E41" s="44"/>
      <c r="F41" s="45"/>
      <c r="G41" s="45"/>
      <c r="H41" s="45"/>
      <c r="I41" s="45"/>
      <c r="J41" s="45"/>
      <c r="K41" s="45"/>
      <c r="L41" s="45"/>
      <c r="M41" s="45"/>
      <c r="N41" s="45"/>
      <c r="O41" s="45"/>
      <c r="P41" s="45"/>
      <c r="Q41" s="45"/>
      <c r="R41" s="32" t="s">
        <v>15</v>
      </c>
      <c r="S41" s="45"/>
      <c r="T41" s="45"/>
      <c r="U41" s="45"/>
      <c r="V41" s="46"/>
      <c r="W41" s="37"/>
      <c r="Y41" s="943"/>
      <c r="Z41" s="909"/>
      <c r="AC41" s="76"/>
      <c r="AI41" s="48" t="e">
        <f>IF(AI26=2,$B$521,0)</f>
        <v>#REF!</v>
      </c>
      <c r="AL41" s="1">
        <v>15</v>
      </c>
      <c r="AN41" s="1" t="str">
        <f t="shared" si="3"/>
        <v/>
      </c>
      <c r="AO41" s="1" t="str">
        <f t="shared" si="4"/>
        <v xml:space="preserve"> ()</v>
      </c>
      <c r="AP41" s="200" t="e">
        <v>#REF!</v>
      </c>
      <c r="AQ41" s="196" t="e">
        <f t="shared" si="5"/>
        <v>#REF!</v>
      </c>
      <c r="BB41" s="48" t="e">
        <v>#REF!</v>
      </c>
      <c r="BC41" s="186" t="e">
        <v>#REF!</v>
      </c>
      <c r="BD41" s="48" t="e">
        <v>#REF!</v>
      </c>
      <c r="BE41" s="1" t="e">
        <f t="shared" si="0"/>
        <v>#REF!</v>
      </c>
      <c r="BF41" s="52" t="e">
        <v>#REF!</v>
      </c>
      <c r="BG41" s="52" t="e">
        <v>#REF!</v>
      </c>
      <c r="BH41" s="1" t="e">
        <v>#REF!</v>
      </c>
    </row>
    <row r="42" spans="2:60" ht="5.25" customHeight="1" thickBot="1">
      <c r="B42" s="80"/>
      <c r="D42" s="37"/>
      <c r="E42" s="44"/>
      <c r="F42" s="45"/>
      <c r="G42" s="45"/>
      <c r="H42" s="45"/>
      <c r="I42" s="45"/>
      <c r="J42" s="45"/>
      <c r="K42" s="45"/>
      <c r="L42" s="45"/>
      <c r="M42" s="45"/>
      <c r="N42" s="45"/>
      <c r="O42" s="45"/>
      <c r="P42" s="45"/>
      <c r="Q42" s="45"/>
      <c r="R42" s="32"/>
      <c r="S42" s="45"/>
      <c r="T42" s="45"/>
      <c r="U42" s="45"/>
      <c r="V42" s="46"/>
      <c r="W42" s="37"/>
      <c r="Y42" s="944"/>
      <c r="Z42" s="909"/>
      <c r="AA42" s="85"/>
      <c r="AC42" s="76"/>
      <c r="AI42" s="48" t="e">
        <f>IF(AI26=2,$B$522,0)</f>
        <v>#REF!</v>
      </c>
      <c r="AL42" s="1">
        <v>16</v>
      </c>
      <c r="AO42" s="1" t="str">
        <f t="shared" si="4"/>
        <v xml:space="preserve"> ()</v>
      </c>
      <c r="AP42" s="200" t="e">
        <v>#REF!</v>
      </c>
      <c r="AQ42" s="196" t="e">
        <f t="shared" si="5"/>
        <v>#REF!</v>
      </c>
      <c r="BB42" s="52" t="e">
        <v>#REF!</v>
      </c>
      <c r="BC42" s="187" t="e">
        <v>#REF!</v>
      </c>
      <c r="BD42" s="48" t="e">
        <v>#REF!</v>
      </c>
      <c r="BE42" s="1" t="e">
        <f t="shared" si="0"/>
        <v>#REF!</v>
      </c>
    </row>
    <row r="43" spans="2:60" ht="8.25" customHeight="1" thickBot="1">
      <c r="B43" s="80"/>
      <c r="D43" s="898">
        <f>IF(AG54=2,1,0)</f>
        <v>0</v>
      </c>
      <c r="E43" s="44"/>
      <c r="F43" s="45"/>
      <c r="G43" s="45"/>
      <c r="H43" s="45"/>
      <c r="I43" s="45"/>
      <c r="J43" s="45"/>
      <c r="K43" s="45"/>
      <c r="L43" s="45"/>
      <c r="M43" s="45"/>
      <c r="N43" s="45"/>
      <c r="O43" s="45"/>
      <c r="P43" s="45"/>
      <c r="Q43" s="45"/>
      <c r="R43" s="32"/>
      <c r="S43" s="45"/>
      <c r="T43" s="45"/>
      <c r="U43" s="45"/>
      <c r="V43" s="46"/>
      <c r="W43" s="898">
        <f>IF(AG54=1,1,0)</f>
        <v>0</v>
      </c>
      <c r="Y43" s="53"/>
      <c r="AC43" s="76"/>
      <c r="AI43" s="52" t="e">
        <f>IF(AI26=2,$B$523,0)</f>
        <v>#REF!</v>
      </c>
      <c r="AL43" s="1">
        <v>17</v>
      </c>
      <c r="AO43" s="1" t="str">
        <f t="shared" si="4"/>
        <v xml:space="preserve"> ()</v>
      </c>
      <c r="AP43" s="200" t="e">
        <v>#REF!</v>
      </c>
      <c r="AQ43" s="196" t="e">
        <f t="shared" si="5"/>
        <v>#REF!</v>
      </c>
      <c r="BC43"/>
      <c r="BD43" s="48" t="e">
        <v>#REF!</v>
      </c>
      <c r="BE43" s="1" t="e">
        <f t="shared" si="0"/>
        <v>#REF!</v>
      </c>
    </row>
    <row r="44" spans="2:60" ht="18" customHeight="1">
      <c r="B44" s="80"/>
      <c r="D44" s="898" t="e">
        <f>IF(#REF!=$Y$41,1,0)</f>
        <v>#REF!</v>
      </c>
      <c r="E44" s="44"/>
      <c r="F44" s="45"/>
      <c r="G44" s="108"/>
      <c r="H44" s="45"/>
      <c r="I44" s="36"/>
      <c r="J44" s="36"/>
      <c r="K44" s="36"/>
      <c r="L44" s="899">
        <v>320</v>
      </c>
      <c r="M44" s="900"/>
      <c r="N44" s="901"/>
      <c r="O44" s="45"/>
      <c r="P44" s="45"/>
      <c r="Q44" s="45"/>
      <c r="R44" s="32"/>
      <c r="S44" s="986"/>
      <c r="T44" s="54"/>
      <c r="U44" s="45"/>
      <c r="V44" s="33"/>
      <c r="W44" s="898" t="e">
        <f>IF(#REF!=$Y$41,1,0)</f>
        <v>#REF!</v>
      </c>
      <c r="Y44" s="55"/>
      <c r="AA44" s="870" t="str">
        <f>IF(OR(Y28&gt;2500,L52&gt;2500),MAX_ROZ_RAM,IF(OR(AND(0.01&lt;Y28,Y28&lt;140),AND(0.01&lt;L52,L52&lt;140)),MIN_ROZ_RAM,""))</f>
        <v/>
      </c>
      <c r="AB44" s="870"/>
      <c r="AC44" s="871"/>
      <c r="AI44" s="47" t="e">
        <f>IF(AI26=1,$B$530,IF(AI26=2,$B$531,0))</f>
        <v>#REF!</v>
      </c>
      <c r="AL44" s="1">
        <v>18</v>
      </c>
      <c r="AO44" s="1" t="str">
        <f t="shared" si="4"/>
        <v xml:space="preserve"> ()</v>
      </c>
      <c r="AP44" s="200" t="e">
        <v>#REF!</v>
      </c>
      <c r="AQ44" s="196" t="e">
        <f t="shared" si="5"/>
        <v>#REF!</v>
      </c>
      <c r="BC44"/>
      <c r="BD44" s="48" t="e">
        <v>#REF!</v>
      </c>
      <c r="BE44" s="1" t="e">
        <f t="shared" si="0"/>
        <v>#REF!</v>
      </c>
    </row>
    <row r="45" spans="2:60" ht="6" customHeight="1">
      <c r="B45" s="80"/>
      <c r="D45" s="902" t="str">
        <f>IF(D43=1,AC31,"")</f>
        <v/>
      </c>
      <c r="E45" s="44"/>
      <c r="F45" s="45"/>
      <c r="G45" s="56"/>
      <c r="H45" s="45"/>
      <c r="I45" s="36"/>
      <c r="J45" s="36"/>
      <c r="K45" s="36"/>
      <c r="L45" s="36"/>
      <c r="M45" s="56"/>
      <c r="N45" s="56"/>
      <c r="O45" s="45"/>
      <c r="P45" s="45"/>
      <c r="Q45" s="45"/>
      <c r="R45" s="32"/>
      <c r="S45" s="987"/>
      <c r="T45" s="54"/>
      <c r="U45" s="45"/>
      <c r="V45" s="33"/>
      <c r="W45" s="902" t="str">
        <f>IF(W43=1,AC31,"")</f>
        <v/>
      </c>
      <c r="Y45" s="55"/>
      <c r="AA45" s="870"/>
      <c r="AB45" s="870"/>
      <c r="AC45" s="871"/>
      <c r="AG45" s="1">
        <f>IF(AC36=$J$369,1,IF(AC36=$J$370,1,IF(AC36=$J$371,2,0)))</f>
        <v>0</v>
      </c>
      <c r="AI45" s="48" t="e">
        <f>IF(AI26=2,$B$532,0)</f>
        <v>#REF!</v>
      </c>
      <c r="AL45" s="1">
        <v>19</v>
      </c>
      <c r="AO45" s="1" t="str">
        <f t="shared" si="4"/>
        <v xml:space="preserve"> ()</v>
      </c>
      <c r="AP45" s="200" t="e">
        <v>#N/A</v>
      </c>
      <c r="AQ45" s="196" t="e">
        <f t="shared" si="5"/>
        <v>#N/A</v>
      </c>
      <c r="BC45"/>
      <c r="BD45" s="48" t="e">
        <v>#REF!</v>
      </c>
      <c r="BE45" s="1" t="e">
        <f t="shared" si="0"/>
        <v>#REF!</v>
      </c>
    </row>
    <row r="46" spans="2:60" ht="22.5" customHeight="1">
      <c r="B46" s="80"/>
      <c r="D46" s="902"/>
      <c r="E46" s="44"/>
      <c r="F46" s="45"/>
      <c r="G46" s="45"/>
      <c r="H46" s="45"/>
      <c r="I46" s="32" t="s">
        <v>15</v>
      </c>
      <c r="J46" s="36"/>
      <c r="K46" s="36"/>
      <c r="L46" s="36"/>
      <c r="M46" s="36"/>
      <c r="N46" s="36"/>
      <c r="O46" s="45"/>
      <c r="P46" s="32" t="s">
        <v>15</v>
      </c>
      <c r="Q46" s="36"/>
      <c r="R46" s="32"/>
      <c r="S46" s="988"/>
      <c r="T46" s="54"/>
      <c r="U46" s="32"/>
      <c r="V46" s="46"/>
      <c r="W46" s="902"/>
      <c r="Y46" s="55"/>
      <c r="AA46" s="870"/>
      <c r="AB46" s="870"/>
      <c r="AC46" s="871"/>
      <c r="AG46" s="1">
        <f>IF(AC35=0,0,VPRAVO)</f>
        <v>0</v>
      </c>
      <c r="AI46" s="48" t="e">
        <f>IF(AI26=2,$B$533,0)</f>
        <v>#REF!</v>
      </c>
      <c r="AL46" s="1">
        <v>20</v>
      </c>
      <c r="AO46" s="1" t="str">
        <f t="shared" si="4"/>
        <v xml:space="preserve"> ()</v>
      </c>
      <c r="AP46" s="200" t="e">
        <v>#N/A</v>
      </c>
      <c r="AQ46" s="196" t="e">
        <f t="shared" si="5"/>
        <v>#N/A</v>
      </c>
      <c r="BC46"/>
      <c r="BD46" s="48" t="e">
        <v>#REF!</v>
      </c>
      <c r="BE46" s="1" t="e">
        <f t="shared" si="0"/>
        <v>#REF!</v>
      </c>
    </row>
    <row r="47" spans="2:60" ht="27" thickBot="1">
      <c r="B47" s="80"/>
      <c r="D47" s="902"/>
      <c r="E47" s="44"/>
      <c r="F47" s="45"/>
      <c r="G47" s="45"/>
      <c r="H47" s="45"/>
      <c r="I47" s="36"/>
      <c r="J47" s="903">
        <v>100</v>
      </c>
      <c r="K47" s="36"/>
      <c r="L47" s="36"/>
      <c r="M47" s="36"/>
      <c r="N47" s="36"/>
      <c r="O47" s="45"/>
      <c r="P47" s="36"/>
      <c r="Q47" s="36"/>
      <c r="R47" s="45"/>
      <c r="S47" s="57"/>
      <c r="T47" s="57"/>
      <c r="U47" s="49"/>
      <c r="V47" s="46"/>
      <c r="W47" s="902"/>
      <c r="AA47" s="870" t="str">
        <f>IF(AC31=0,"",IF(AND(OR(AC23="Palio (elox.)",AC23="Siena (elox.)"),AC31&lt;80),MIN_POZ_ZAVES_80,IF(AC31&lt;70,MIN_POZ_ZAVES,"")))</f>
        <v/>
      </c>
      <c r="AB47" s="870"/>
      <c r="AC47" s="871"/>
      <c r="AG47" s="1">
        <f>IF(AC35=0,0,VLEVO)</f>
        <v>0</v>
      </c>
      <c r="AI47" s="52" t="e">
        <f>IF(AI26=2,$B$534,0)</f>
        <v>#REF!</v>
      </c>
      <c r="AL47" s="1">
        <v>21</v>
      </c>
      <c r="AO47" s="1" t="str">
        <f t="shared" si="4"/>
        <v xml:space="preserve"> ()</v>
      </c>
      <c r="AP47" s="200" t="e">
        <v>#N/A</v>
      </c>
      <c r="AQ47" s="196" t="e">
        <f t="shared" si="5"/>
        <v>#N/A</v>
      </c>
      <c r="BC47"/>
      <c r="BD47" s="48" t="e">
        <v>#REF!</v>
      </c>
      <c r="BE47" s="1" t="e">
        <f t="shared" si="0"/>
        <v>#REF!</v>
      </c>
    </row>
    <row r="48" spans="2:60" ht="26.25">
      <c r="B48" s="80"/>
      <c r="D48" s="902"/>
      <c r="E48" s="44"/>
      <c r="F48" s="45"/>
      <c r="G48" s="45"/>
      <c r="H48" s="45"/>
      <c r="I48" s="36"/>
      <c r="J48" s="904"/>
      <c r="K48" s="36"/>
      <c r="L48" s="36"/>
      <c r="M48" s="36"/>
      <c r="N48" s="36"/>
      <c r="O48" s="45"/>
      <c r="P48" s="36"/>
      <c r="Q48" s="36"/>
      <c r="R48" s="45"/>
      <c r="S48" s="58"/>
      <c r="T48" s="58"/>
      <c r="U48" s="49"/>
      <c r="V48" s="46"/>
      <c r="W48" s="902"/>
      <c r="AC48" s="76"/>
      <c r="AG48" s="1">
        <f>IF(AC35=0,0,OBE_STRANY)</f>
        <v>0</v>
      </c>
      <c r="AJ48" s="1">
        <f>IF(AC35=0,0,VLOOKUP(AC35,AI49:AJ62,2,0))</f>
        <v>0</v>
      </c>
      <c r="AL48" s="1">
        <v>22</v>
      </c>
      <c r="AO48" s="1" t="str">
        <f t="shared" si="4"/>
        <v xml:space="preserve"> ()</v>
      </c>
      <c r="AP48" s="200" t="e">
        <v>#N/A</v>
      </c>
      <c r="AQ48" s="196" t="e">
        <f t="shared" si="5"/>
        <v>#N/A</v>
      </c>
      <c r="BD48" s="48" t="e">
        <v>#REF!</v>
      </c>
      <c r="BE48" s="1" t="e">
        <f t="shared" si="0"/>
        <v>#REF!</v>
      </c>
    </row>
    <row r="49" spans="2:57" ht="15.75" customHeight="1" thickBot="1">
      <c r="B49" s="80"/>
      <c r="D49" s="902"/>
      <c r="E49" s="59"/>
      <c r="F49" s="60"/>
      <c r="G49" s="60"/>
      <c r="H49" s="60"/>
      <c r="I49" s="35"/>
      <c r="J49" s="35"/>
      <c r="K49" s="35"/>
      <c r="L49" s="35"/>
      <c r="M49" s="35"/>
      <c r="N49" s="35"/>
      <c r="O49" s="60"/>
      <c r="P49" s="35"/>
      <c r="Q49" s="35"/>
      <c r="R49" s="60"/>
      <c r="S49" s="60"/>
      <c r="T49" s="60"/>
      <c r="U49" s="60"/>
      <c r="V49" s="61"/>
      <c r="W49" s="902"/>
      <c r="AC49" s="76"/>
      <c r="AH49" s="1" t="e">
        <f>IF(AA35=Ceny_n!$B$184,IF(AI26=1,Ceny!$F$919,IF(AI26=2,Ceny!$G$919,0)),0)</f>
        <v>#REF!</v>
      </c>
      <c r="AI49" s="1" t="e">
        <f>IF(AG54=3,AH49,AH68)</f>
        <v>#REF!</v>
      </c>
      <c r="AJ49" s="1">
        <f>IF(AC26=ZAVESY,Ceny!$E$948,0)</f>
        <v>199</v>
      </c>
      <c r="AL49" s="1">
        <v>22</v>
      </c>
      <c r="AO49" s="1" t="str">
        <f t="shared" si="4"/>
        <v xml:space="preserve"> ()</v>
      </c>
      <c r="AP49" s="200" t="e">
        <v>#N/A</v>
      </c>
      <c r="AQ49" s="196" t="e">
        <f t="shared" si="5"/>
        <v>#N/A</v>
      </c>
      <c r="AS49" s="1" t="e">
        <f>VLOOKUP(AL49,Ceny!$B$963:$E$970,4,0)</f>
        <v>#N/A</v>
      </c>
      <c r="AY49" s="1" t="e">
        <f t="shared" ref="AY49:AY63" si="7">AJ49+AS49+AT49+AU49+AW49</f>
        <v>#N/A</v>
      </c>
      <c r="BD49" s="48" t="e">
        <v>#REF!</v>
      </c>
      <c r="BE49" s="1" t="e">
        <f t="shared" si="0"/>
        <v>#REF!</v>
      </c>
    </row>
    <row r="50" spans="2:57" ht="19.5" thickBot="1">
      <c r="B50" s="80"/>
      <c r="D50" s="905" t="str">
        <f>IF(H50=1,AC31,"")</f>
        <v/>
      </c>
      <c r="E50" s="941"/>
      <c r="F50" s="941"/>
      <c r="G50" s="941"/>
      <c r="H50" s="39">
        <f>IF(AG54=4,1,0)</f>
        <v>0</v>
      </c>
      <c r="I50" s="39"/>
      <c r="J50" s="39"/>
      <c r="K50" s="39" t="b">
        <f>IF(AG54=4,IF(AC30=4,1,0))</f>
        <v>0</v>
      </c>
      <c r="L50" s="39"/>
      <c r="M50" s="39" t="b">
        <f>IF(AG54=4,IF(AC30=3,1,0))</f>
        <v>0</v>
      </c>
      <c r="N50" s="39"/>
      <c r="O50" s="39" t="b">
        <f>IF(AG54=4,IF(AC30=4,1,0))</f>
        <v>0</v>
      </c>
      <c r="P50" s="39"/>
      <c r="Q50" s="39"/>
      <c r="R50" s="39">
        <f>IF(AG54=4,1,0)</f>
        <v>0</v>
      </c>
      <c r="S50" s="954" t="str">
        <f>IF(R50=1,AC31,"")</f>
        <v/>
      </c>
      <c r="T50" s="954"/>
      <c r="U50" s="954"/>
      <c r="V50" s="954"/>
      <c r="W50" s="930"/>
      <c r="Y50" s="40"/>
      <c r="Z50" s="157" t="str">
        <f>IF(OR(AC23=Ceny_n!$B$18,AC23=Ceny_n!$B$19,AC23=Ceny_n!$B$20),Ceny!$B$498,"")</f>
        <v/>
      </c>
      <c r="AC50" s="76"/>
      <c r="AG50" s="1" t="str">
        <f>IF(AC26=ZAVESY,VPRAVO,0)</f>
        <v xml:space="preserve">Vpravo </v>
      </c>
      <c r="AH50" s="1" t="e">
        <f>IF(AA35=Ceny_n!$B$184,IF(AI26=1,Ceny!$F$920,IF(AI26=2,Ceny!$G$920,0)),0)</f>
        <v>#REF!</v>
      </c>
      <c r="AI50" s="1" t="e">
        <f>IF(AG54=3,AH50,AH69)</f>
        <v>#REF!</v>
      </c>
      <c r="AJ50" s="1">
        <f>IF(AC26=ZAVESY,Ceny!$E$949,0)</f>
        <v>199</v>
      </c>
      <c r="AL50" s="1">
        <v>22</v>
      </c>
      <c r="AO50" s="1" t="str">
        <f t="shared" si="4"/>
        <v xml:space="preserve"> ()</v>
      </c>
      <c r="AP50" s="200" t="e">
        <v>#N/A</v>
      </c>
      <c r="AQ50" s="196" t="e">
        <f t="shared" si="5"/>
        <v>#N/A</v>
      </c>
      <c r="AS50" s="1" t="e">
        <f>VLOOKUP(AL50,Ceny!$B$963:$E$970,4,0)</f>
        <v>#N/A</v>
      </c>
      <c r="AY50" s="1" t="e">
        <f t="shared" si="7"/>
        <v>#N/A</v>
      </c>
      <c r="BD50" s="48" t="e">
        <v>#REF!</v>
      </c>
      <c r="BE50" s="1" t="e">
        <f t="shared" si="0"/>
        <v>#REF!</v>
      </c>
    </row>
    <row r="51" spans="2:57" ht="6" customHeight="1">
      <c r="B51" s="80"/>
      <c r="AC51" s="76"/>
      <c r="AG51" s="1" t="str">
        <f>IF(AC26=ZAVESY,VLEVO,0)</f>
        <v>Vlevo</v>
      </c>
      <c r="AH51" s="1" t="e">
        <f>IF(AA35=Ceny_n!$B$184,IF(AI26=1,Ceny!$F$921,IF(AI26=2,Ceny!$G$921,0)),0)</f>
        <v>#REF!</v>
      </c>
      <c r="AI51" s="1" t="e">
        <f>IF(AG54=3,AH51,AH70)</f>
        <v>#REF!</v>
      </c>
      <c r="AJ51" s="1">
        <f>IF(AC26=ZAVESY,Ceny!$E$950,0)</f>
        <v>199</v>
      </c>
      <c r="AL51" s="1">
        <v>22</v>
      </c>
      <c r="AO51" s="1" t="str">
        <f t="shared" si="4"/>
        <v xml:space="preserve"> ()</v>
      </c>
      <c r="AP51" s="200" t="e">
        <v>#N/A</v>
      </c>
      <c r="AQ51" s="196" t="e">
        <f t="shared" si="5"/>
        <v>#N/A</v>
      </c>
      <c r="AS51" s="1" t="e">
        <f>VLOOKUP(AL51,Ceny!$B$963:$E$970,4,0)</f>
        <v>#N/A</v>
      </c>
      <c r="AY51" s="1" t="e">
        <f t="shared" si="7"/>
        <v>#N/A</v>
      </c>
      <c r="BD51" s="48" t="e">
        <v>#REF!</v>
      </c>
      <c r="BE51" s="1" t="e">
        <f t="shared" si="0"/>
        <v>#REF!</v>
      </c>
    </row>
    <row r="52" spans="2:57" ht="20.25" customHeight="1" thickBot="1">
      <c r="B52" s="80"/>
      <c r="D52" s="40"/>
      <c r="E52" s="40"/>
      <c r="F52" s="40"/>
      <c r="G52" s="40"/>
      <c r="I52" s="884" t="str">
        <f>Ceny_n!$B$135</f>
        <v xml:space="preserve">Šířka </v>
      </c>
      <c r="J52" s="885"/>
      <c r="K52" s="885"/>
      <c r="L52" s="886">
        <v>600</v>
      </c>
      <c r="M52" s="886"/>
      <c r="N52" s="886"/>
      <c r="O52" s="886"/>
      <c r="P52" s="886"/>
      <c r="Q52" s="887"/>
      <c r="R52" s="40"/>
      <c r="S52" s="40"/>
      <c r="T52" s="40"/>
      <c r="U52" s="40"/>
      <c r="V52" s="40"/>
      <c r="W52" s="40"/>
      <c r="Z52" s="157" t="str">
        <f>IF(L52&gt;1500,Ceny!$B$290,IF(Y28&gt;1500,Ceny!$B$290,""))</f>
        <v/>
      </c>
      <c r="AC52" s="76"/>
      <c r="AG52" s="1" t="str">
        <f>IF(AC26=ZAVESY,NAHORE,0)</f>
        <v>Nahoře</v>
      </c>
      <c r="AH52" s="1" t="e">
        <f>IF(AA35=Ceny_n!$B$184,IF(AI26=1,Ceny!$F$922,IF(AI26=2,Ceny!$G$922,0)),0)</f>
        <v>#REF!</v>
      </c>
      <c r="AI52" s="1" t="e">
        <f>IF(AG54=3,AH52,AH71)</f>
        <v>#REF!</v>
      </c>
      <c r="AJ52" s="1">
        <f>IF(AC26=ZAVESY,Ceny!$E$951,0)</f>
        <v>199</v>
      </c>
      <c r="AL52" s="1">
        <v>22</v>
      </c>
      <c r="AO52" s="1" t="str">
        <f t="shared" si="4"/>
        <v xml:space="preserve"> ()</v>
      </c>
      <c r="AP52" s="201" t="e">
        <v>#N/A</v>
      </c>
      <c r="AQ52" s="198" t="e">
        <f t="shared" si="5"/>
        <v>#N/A</v>
      </c>
      <c r="AS52" s="1" t="e">
        <f>VLOOKUP(AL52,Ceny!$B$963:$E$970,4,0)</f>
        <v>#N/A</v>
      </c>
      <c r="AY52" s="1" t="e">
        <f t="shared" si="7"/>
        <v>#N/A</v>
      </c>
      <c r="BD52" s="48" t="e">
        <v>#REF!</v>
      </c>
      <c r="BE52" s="1" t="e">
        <f t="shared" si="0"/>
        <v>#REF!</v>
      </c>
    </row>
    <row r="53" spans="2:57" ht="17.25" customHeight="1">
      <c r="B53" s="80"/>
      <c r="D53" s="40"/>
      <c r="E53" s="40"/>
      <c r="F53" s="40"/>
      <c r="G53" s="40"/>
      <c r="H53" s="62"/>
      <c r="I53" s="62"/>
      <c r="J53" s="62"/>
      <c r="K53" s="63"/>
      <c r="L53" s="63"/>
      <c r="M53" s="64"/>
      <c r="N53" s="64"/>
      <c r="O53" s="64"/>
      <c r="P53" s="64"/>
      <c r="Q53" s="64"/>
      <c r="R53" s="40"/>
      <c r="S53" s="40"/>
      <c r="T53" s="40"/>
      <c r="U53" s="40"/>
      <c r="V53" s="40"/>
      <c r="W53" s="40"/>
      <c r="Z53" s="888" t="str">
        <f>Ceny_n!$B$138</f>
        <v>Cena rámečků celkem</v>
      </c>
      <c r="AA53" s="889"/>
      <c r="AB53" s="889"/>
      <c r="AC53" s="919">
        <f>IF(AC23=$B$347,0,(AI23+AM23+AN23+AS23)-((AI23+AM23+AN23+AS23)*$AC$14))</f>
        <v>0</v>
      </c>
      <c r="AD53" s="223"/>
      <c r="AE53" s="174"/>
      <c r="AG53" s="1" t="str">
        <f>IF(AC26=ZAVESY,DOLE,0)</f>
        <v>Dole</v>
      </c>
      <c r="AH53" s="1" t="e">
        <f>IF(AA35=Ceny_n!$B$184,IF(AI26=1,Ceny!$F$923,IF(AI26=2,Ceny!$G$923,0)),0)</f>
        <v>#REF!</v>
      </c>
      <c r="AI53" s="1" t="e">
        <f>IF(AG54=3,AH53,AH72)</f>
        <v>#REF!</v>
      </c>
      <c r="AJ53" s="1">
        <f>IF(AC26=ZAVESY,Ceny!$E$952,0)</f>
        <v>199</v>
      </c>
      <c r="AL53" s="1" t="e">
        <f>IF(AI26=1,Ceny!$B$964,0)</f>
        <v>#REF!</v>
      </c>
      <c r="AM53" s="1">
        <v>0</v>
      </c>
      <c r="AN53" s="1">
        <v>0</v>
      </c>
      <c r="AP53" s="1">
        <v>0</v>
      </c>
      <c r="AS53" s="1" t="e">
        <f>VLOOKUP(AL53,Ceny!$B$963:$E$970,4,0)</f>
        <v>#REF!</v>
      </c>
      <c r="AY53" s="1" t="e">
        <f t="shared" si="7"/>
        <v>#REF!</v>
      </c>
      <c r="BD53" s="48" t="e">
        <v>#REF!</v>
      </c>
      <c r="BE53" s="1" t="e">
        <f t="shared" si="0"/>
        <v>#REF!</v>
      </c>
    </row>
    <row r="54" spans="2:57" ht="17.25" customHeight="1">
      <c r="B54" s="80"/>
      <c r="D54" s="40"/>
      <c r="E54" s="40"/>
      <c r="F54" s="40"/>
      <c r="G54" s="40"/>
      <c r="H54" s="62"/>
      <c r="I54" s="62"/>
      <c r="J54" s="62"/>
      <c r="K54" s="63"/>
      <c r="L54" s="63"/>
      <c r="M54" s="64"/>
      <c r="N54" s="64"/>
      <c r="O54" s="64"/>
      <c r="P54" s="64"/>
      <c r="Q54" s="64"/>
      <c r="R54" s="40"/>
      <c r="S54" s="40"/>
      <c r="T54" s="40"/>
      <c r="U54" s="40"/>
      <c r="V54" s="40"/>
      <c r="W54" s="40"/>
      <c r="Z54" s="890"/>
      <c r="AA54" s="891"/>
      <c r="AB54" s="891"/>
      <c r="AC54" s="920"/>
      <c r="AD54" s="223"/>
      <c r="AE54" s="174"/>
      <c r="AG54" s="1">
        <f>IF(AC34=VPRAVO,1,IF('Běžné rámečky'!AC34=VLEVO,2,IF('Běžné rámečky'!AC34=NAHORE,3,IF('Běžné rámečky'!AC34=DOLE,4,0))))</f>
        <v>0</v>
      </c>
      <c r="AH54" s="1" t="e">
        <f>IF(AA35=Ceny_n!$B$184,IF(AI26=1,Ceny!$F$924,IF(AI26=2,Ceny!$G$924,0)),0)</f>
        <v>#REF!</v>
      </c>
      <c r="AI54" s="1" t="str">
        <f>IF(AG54=3,AH54,AH73)</f>
        <v xml:space="preserve"> </v>
      </c>
      <c r="AJ54" s="1">
        <f>IF(AC26=ZAVESY,Ceny!$E$953,0)</f>
        <v>50</v>
      </c>
      <c r="AL54">
        <f>Ceny_n!$B$965</f>
        <v>15585</v>
      </c>
      <c r="AM54" s="1">
        <v>0</v>
      </c>
      <c r="AN54" s="1">
        <v>0</v>
      </c>
      <c r="AP54" s="1">
        <v>0</v>
      </c>
      <c r="AS54" s="1">
        <f>VLOOKUP(AL54,Ceny!$B$963:$E$970,4,0)</f>
        <v>3.1249699999999998</v>
      </c>
      <c r="AY54" s="1">
        <f t="shared" si="7"/>
        <v>53.124969999999998</v>
      </c>
      <c r="BD54" s="48" t="e">
        <v>#REF!</v>
      </c>
      <c r="BE54" s="1" t="e">
        <f t="shared" si="0"/>
        <v>#REF!</v>
      </c>
    </row>
    <row r="55" spans="2:57" ht="13.5" customHeight="1">
      <c r="B55" s="80"/>
      <c r="D55" s="40"/>
      <c r="E55" s="40"/>
      <c r="F55" s="40"/>
      <c r="G55" s="40"/>
      <c r="H55" s="62"/>
      <c r="I55" s="62"/>
      <c r="J55" s="62"/>
      <c r="K55" s="63"/>
      <c r="L55" s="63"/>
      <c r="M55" s="64"/>
      <c r="N55" s="64"/>
      <c r="O55" s="64"/>
      <c r="P55" s="64"/>
      <c r="Q55" s="64"/>
      <c r="R55" s="40"/>
      <c r="S55" s="40"/>
      <c r="T55" s="40"/>
      <c r="U55" s="40"/>
      <c r="V55" s="40"/>
      <c r="W55" s="40"/>
      <c r="Z55" s="874" t="str">
        <f>Ceny_n!$B$140</f>
        <v>Cena za kompletní objednávku</v>
      </c>
      <c r="AA55" s="875"/>
      <c r="AB55" s="875"/>
      <c r="AC55" s="878">
        <f>SUM($AC$53,$AC$107,$AC$161,$AC$215,$AC$269,$AC$323)</f>
        <v>0</v>
      </c>
      <c r="AD55" s="223"/>
      <c r="AE55" s="174"/>
      <c r="AH55" s="1" t="e">
        <f>IF(AA35=Ceny_n!$B$184,IF(AI26=1,Ceny!$F$925,IF(AI26=2,Ceny!$G$925,0)),0)</f>
        <v>#REF!</v>
      </c>
      <c r="AI55" s="1" t="str">
        <f>IF(AG54=3,AH55,AH73)</f>
        <v xml:space="preserve"> </v>
      </c>
      <c r="AJ55" s="1">
        <f>IF(AC26=ZAVESY,Ceny!$E$954,0)</f>
        <v>50</v>
      </c>
      <c r="AL55">
        <f>Ceny_n!$B$965</f>
        <v>15585</v>
      </c>
      <c r="AM55" s="1">
        <v>0</v>
      </c>
      <c r="AN55" s="1">
        <v>0</v>
      </c>
      <c r="AP55" s="1">
        <v>0</v>
      </c>
      <c r="AS55" s="1">
        <f>VLOOKUP(AL55,Ceny!$B$963:$E$970,4,0)</f>
        <v>3.1249699999999998</v>
      </c>
      <c r="AY55" s="1">
        <f t="shared" si="7"/>
        <v>53.124969999999998</v>
      </c>
      <c r="BD55" s="48" t="e">
        <v>#REF!</v>
      </c>
      <c r="BE55" s="1" t="e">
        <f t="shared" si="0"/>
        <v>#REF!</v>
      </c>
    </row>
    <row r="56" spans="2:57" ht="17.25" customHeight="1">
      <c r="B56" s="80"/>
      <c r="D56" s="40"/>
      <c r="E56" s="40"/>
      <c r="F56" s="40"/>
      <c r="G56" s="40"/>
      <c r="H56" s="62"/>
      <c r="I56" s="62"/>
      <c r="J56" s="62"/>
      <c r="K56" s="63"/>
      <c r="L56" s="63"/>
      <c r="M56" s="64"/>
      <c r="N56" s="64"/>
      <c r="O56" s="64"/>
      <c r="P56" s="64"/>
      <c r="Q56" s="64"/>
      <c r="R56" s="40"/>
      <c r="S56" s="40"/>
      <c r="T56" s="40"/>
      <c r="U56" s="40"/>
      <c r="V56" s="40"/>
      <c r="W56" s="40"/>
      <c r="Z56" s="876"/>
      <c r="AA56" s="877"/>
      <c r="AB56" s="877"/>
      <c r="AC56" s="879"/>
      <c r="AD56" s="224"/>
      <c r="AE56" s="175"/>
      <c r="AH56" s="1" t="e">
        <f>IF(AA35=Ceny_n!$B$184,IF(AI26=1,Ceny!$F$926,IF(AI26=2,Ceny!$G$926,0)),0)</f>
        <v>#REF!</v>
      </c>
      <c r="AI56" s="1" t="str">
        <f>IF(AG54=3,AH56,AH73)</f>
        <v xml:space="preserve"> </v>
      </c>
      <c r="AJ56" s="1">
        <f>IF(AC26=ZAVESY,Ceny!$E$955,0)</f>
        <v>50</v>
      </c>
      <c r="AL56">
        <f>Ceny_n!$B$965</f>
        <v>15585</v>
      </c>
      <c r="AM56" s="1">
        <v>0</v>
      </c>
      <c r="AN56" s="1">
        <v>0</v>
      </c>
      <c r="AP56" s="1">
        <v>0</v>
      </c>
      <c r="AS56" s="1">
        <f>VLOOKUP(AL56,Ceny!$B$963:$E$970,4,0)</f>
        <v>3.1249699999999998</v>
      </c>
      <c r="AY56" s="1">
        <f t="shared" si="7"/>
        <v>53.124969999999998</v>
      </c>
      <c r="BD56" s="48" t="e">
        <v>#REF!</v>
      </c>
      <c r="BE56" s="1" t="e">
        <f t="shared" si="0"/>
        <v>#REF!</v>
      </c>
    </row>
    <row r="57" spans="2:57" ht="7.5" customHeight="1">
      <c r="B57" s="80"/>
      <c r="D57" s="40"/>
      <c r="E57" s="40"/>
      <c r="F57" s="40"/>
      <c r="G57" s="40"/>
      <c r="H57" s="62"/>
      <c r="I57" s="62"/>
      <c r="J57" s="62"/>
      <c r="K57" s="63"/>
      <c r="L57" s="63"/>
      <c r="M57" s="64"/>
      <c r="N57" s="64"/>
      <c r="O57" s="64"/>
      <c r="P57" s="64"/>
      <c r="Q57" s="64"/>
      <c r="R57" s="40"/>
      <c r="S57" s="40"/>
      <c r="T57" s="40"/>
      <c r="U57" s="40"/>
      <c r="V57" s="40"/>
      <c r="W57" s="40"/>
      <c r="Z57" s="880" t="str">
        <f>Ceny_n!$B$131</f>
        <v>Uvedené ceny jsou bez DPH a nezahrnují cenu požadovaného kování!</v>
      </c>
      <c r="AA57" s="880"/>
      <c r="AB57" s="880"/>
      <c r="AC57" s="881"/>
      <c r="AH57" s="1" t="e">
        <f>IF(AA35=Ceny_n!$B$184,IF(AI26=1,Ceny!$F$927,IF(AI26=2,Ceny!$G$927,0)),0)</f>
        <v>#REF!</v>
      </c>
      <c r="AI57" s="1" t="str">
        <f>IF(AG54=3,AH57,AH73)</f>
        <v xml:space="preserve"> </v>
      </c>
      <c r="AJ57" s="1">
        <f>IF(AC26=ZAVESY,Ceny!$E$956,0)</f>
        <v>50</v>
      </c>
      <c r="AL57">
        <f>Ceny_n!$B$965</f>
        <v>15585</v>
      </c>
      <c r="AM57" s="1">
        <v>0</v>
      </c>
      <c r="AN57" s="1">
        <v>0</v>
      </c>
      <c r="AP57" s="1">
        <v>0</v>
      </c>
      <c r="AS57" s="1">
        <f>VLOOKUP(AL57,Ceny!$B$963:$E$970,4,0)</f>
        <v>3.1249699999999998</v>
      </c>
      <c r="AY57" s="1">
        <f t="shared" si="7"/>
        <v>53.124969999999998</v>
      </c>
      <c r="BD57" s="48" t="e">
        <v>#REF!</v>
      </c>
      <c r="BE57" s="1" t="e">
        <f t="shared" si="0"/>
        <v>#REF!</v>
      </c>
    </row>
    <row r="58" spans="2:57" ht="7.5" customHeight="1">
      <c r="B58" s="81"/>
      <c r="C58" s="82"/>
      <c r="D58" s="82"/>
      <c r="E58" s="82"/>
      <c r="F58" s="82"/>
      <c r="G58" s="82"/>
      <c r="H58" s="82"/>
      <c r="I58" s="83"/>
      <c r="J58" s="83"/>
      <c r="K58" s="83"/>
      <c r="L58" s="83"/>
      <c r="M58" s="83"/>
      <c r="N58" s="83"/>
      <c r="O58" s="82"/>
      <c r="P58" s="82"/>
      <c r="Q58" s="82"/>
      <c r="R58" s="82"/>
      <c r="S58" s="82"/>
      <c r="T58" s="82"/>
      <c r="U58" s="82"/>
      <c r="V58" s="82"/>
      <c r="W58" s="82"/>
      <c r="X58" s="82"/>
      <c r="Y58" s="82"/>
      <c r="Z58" s="882"/>
      <c r="AA58" s="882"/>
      <c r="AB58" s="882"/>
      <c r="AC58" s="883"/>
      <c r="AH58" s="1" t="e">
        <f>IF(AA35=Ceny_n!$B$184,IF(AI26=1,Ceny!$F$928,IF(AI26=2,Ceny!$G$928,0)),0)</f>
        <v>#REF!</v>
      </c>
      <c r="AI58" s="1" t="str">
        <f>IF(AG54=3,AH58,AH73)</f>
        <v xml:space="preserve"> </v>
      </c>
      <c r="AJ58" s="1">
        <f>IF(AC26=ZAVESY,Ceny!$E$957,0)</f>
        <v>50</v>
      </c>
      <c r="AL58">
        <f>Ceny_n!$B$965</f>
        <v>15585</v>
      </c>
      <c r="AM58" s="1">
        <v>0</v>
      </c>
      <c r="AN58" s="1">
        <v>0</v>
      </c>
      <c r="AP58" s="1">
        <v>0</v>
      </c>
      <c r="AS58" s="1">
        <f>VLOOKUP(AL58,Ceny!$B$963:$E$970,4,0)</f>
        <v>3.1249699999999998</v>
      </c>
      <c r="AY58" s="1">
        <f t="shared" si="7"/>
        <v>53.124969999999998</v>
      </c>
      <c r="BD58" s="48" t="e">
        <v>#REF!</v>
      </c>
      <c r="BE58" s="1" t="e">
        <f t="shared" si="0"/>
        <v>#REF!</v>
      </c>
    </row>
    <row r="59" spans="2:57" ht="7.35" customHeight="1">
      <c r="B59" s="892" t="str">
        <f>Ceny_n!$B$137</f>
        <v>Poznámky</v>
      </c>
      <c r="C59" s="893"/>
      <c r="D59" s="893"/>
      <c r="E59" s="893"/>
      <c r="F59" s="893"/>
      <c r="G59" s="911"/>
      <c r="H59" s="911"/>
      <c r="I59" s="911"/>
      <c r="J59" s="911"/>
      <c r="K59" s="911"/>
      <c r="L59" s="911"/>
      <c r="M59" s="911"/>
      <c r="N59" s="911"/>
      <c r="O59" s="911"/>
      <c r="P59" s="911"/>
      <c r="Q59" s="911"/>
      <c r="R59" s="911"/>
      <c r="S59" s="911"/>
      <c r="T59" s="911"/>
      <c r="U59" s="911"/>
      <c r="V59" s="911"/>
      <c r="W59" s="911"/>
      <c r="X59" s="911"/>
      <c r="Y59" s="911"/>
      <c r="Z59" s="911"/>
      <c r="AA59" s="911"/>
      <c r="AB59" s="911"/>
      <c r="AC59" s="912"/>
      <c r="AD59" s="225"/>
      <c r="AE59" s="176"/>
      <c r="AH59" s="1" t="e">
        <f>IF(AA35=Ceny_n!$B$184,IF(AI26=1,Ceny!$F$929,IF(AI26=2,Ceny!$G$929,0)),0)</f>
        <v>#REF!</v>
      </c>
      <c r="AI59" s="1" t="str">
        <f>IF(AG54=3,AH59,AH73)</f>
        <v xml:space="preserve"> </v>
      </c>
      <c r="AJ59" s="1">
        <f>IF(AC26=ZAVESY,Ceny!$E$958,0)</f>
        <v>299.89999999999998</v>
      </c>
      <c r="AL59" s="1">
        <f>Ceny_n!$B$968</f>
        <v>15596</v>
      </c>
      <c r="AM59" s="1">
        <f>Ceny_n!$B$967</f>
        <v>15595</v>
      </c>
      <c r="AN59" s="65" t="e">
        <f>IF(AI26=1,Ceny!$B$967,0)</f>
        <v>#REF!</v>
      </c>
      <c r="AO59" s="65"/>
      <c r="AP59" s="65" t="e">
        <f>IF(AI26=1,Ceny!$B$968,0)</f>
        <v>#REF!</v>
      </c>
      <c r="AQ59" s="65"/>
      <c r="AR59" s="65" t="e">
        <f>IF(AI26=1,Ceny!$B$969,0)</f>
        <v>#REF!</v>
      </c>
      <c r="AS59" s="1">
        <f>VLOOKUP(AL59,Ceny!$B$963:$E$970,4,0)</f>
        <v>11.9</v>
      </c>
      <c r="AT59" s="1">
        <f>VLOOKUP(AM59,Ceny!$B$963:$E$970,4,0)</f>
        <v>13.4</v>
      </c>
      <c r="AU59" s="1" t="e">
        <f>VLOOKUP(AN59,Ceny!$B$963:$E$970,4,0)</f>
        <v>#REF!</v>
      </c>
      <c r="AW59" s="1" t="e">
        <f>2*(VLOOKUP(AP59,Ceny!$B$963:$E$970,4,0))</f>
        <v>#REF!</v>
      </c>
      <c r="AX59" s="1" t="e">
        <f>2*(VLOOKUP(AR59,Ceny!$B$963:$E$970,4,0))</f>
        <v>#REF!</v>
      </c>
      <c r="AY59" s="1" t="e">
        <f t="shared" si="7"/>
        <v>#REF!</v>
      </c>
      <c r="BD59" s="48" t="e">
        <v>#REF!</v>
      </c>
      <c r="BE59" s="1" t="e">
        <f t="shared" si="0"/>
        <v>#REF!</v>
      </c>
    </row>
    <row r="60" spans="2:57" ht="7.35" customHeight="1">
      <c r="B60" s="894"/>
      <c r="C60" s="895"/>
      <c r="D60" s="895"/>
      <c r="E60" s="895"/>
      <c r="F60" s="895"/>
      <c r="G60" s="913"/>
      <c r="H60" s="913"/>
      <c r="I60" s="913"/>
      <c r="J60" s="913"/>
      <c r="K60" s="913"/>
      <c r="L60" s="913"/>
      <c r="M60" s="913"/>
      <c r="N60" s="913"/>
      <c r="O60" s="913"/>
      <c r="P60" s="913"/>
      <c r="Q60" s="913"/>
      <c r="R60" s="913"/>
      <c r="S60" s="913"/>
      <c r="T60" s="913"/>
      <c r="U60" s="913"/>
      <c r="V60" s="913"/>
      <c r="W60" s="913"/>
      <c r="X60" s="913"/>
      <c r="Y60" s="913"/>
      <c r="Z60" s="913"/>
      <c r="AA60" s="913"/>
      <c r="AB60" s="913"/>
      <c r="AC60" s="914"/>
      <c r="AD60" s="225"/>
      <c r="AE60" s="176"/>
      <c r="AH60" s="1" t="e">
        <f>IF(AA35=Ceny_n!$B$184,IF(AI26=1,Ceny!$F$930,IF(AI26=2,Ceny!$G$930,0)),0)</f>
        <v>#REF!</v>
      </c>
      <c r="AI60" s="1" t="str">
        <f>IF(AG54=3,AH60,AH73)</f>
        <v xml:space="preserve"> </v>
      </c>
      <c r="AJ60" s="1">
        <f>IF(AC26=ZAVESY,Ceny!$E$959,0)</f>
        <v>299.89999999999998</v>
      </c>
      <c r="AL60" s="1">
        <f>Ceny_n!$B$968</f>
        <v>15596</v>
      </c>
      <c r="AM60" s="1">
        <f>Ceny_n!$B$967</f>
        <v>15595</v>
      </c>
      <c r="AN60" s="65" t="e">
        <f>IF(AI26=1,Ceny!$B$967,0)</f>
        <v>#REF!</v>
      </c>
      <c r="AO60" s="65"/>
      <c r="AP60" s="65" t="e">
        <f>IF(AI26=1,Ceny!$B$968,0)</f>
        <v>#REF!</v>
      </c>
      <c r="AQ60" s="65"/>
      <c r="AR60" s="65" t="e">
        <f>IF(AI26=1,Ceny!$B$969,0)</f>
        <v>#REF!</v>
      </c>
      <c r="AS60" s="1">
        <f>VLOOKUP(AL60,Ceny!$B$963:$E$970,4,0)</f>
        <v>11.9</v>
      </c>
      <c r="AT60" s="1">
        <f>VLOOKUP(AM60,Ceny!$B$963:$E$970,4,0)</f>
        <v>13.4</v>
      </c>
      <c r="AU60" s="1" t="e">
        <f>VLOOKUP(AN60,Ceny!$B$963:$E$970,4,0)</f>
        <v>#REF!</v>
      </c>
      <c r="AW60" s="1" t="e">
        <f>2*(VLOOKUP(AP60,Ceny!$B$963:$E$970,4,0))</f>
        <v>#REF!</v>
      </c>
      <c r="AX60" s="1" t="e">
        <f>2*(VLOOKUP(AR60,Ceny!$B$963:$E$970,4,0))</f>
        <v>#REF!</v>
      </c>
      <c r="AY60" s="1" t="e">
        <f t="shared" si="7"/>
        <v>#REF!</v>
      </c>
      <c r="BD60" s="48" t="e">
        <v>#REF!</v>
      </c>
      <c r="BE60" s="1" t="e">
        <f t="shared" si="0"/>
        <v>#REF!</v>
      </c>
    </row>
    <row r="61" spans="2:57" ht="7.35" customHeight="1">
      <c r="B61" s="894"/>
      <c r="C61" s="895"/>
      <c r="D61" s="895"/>
      <c r="E61" s="895"/>
      <c r="F61" s="895"/>
      <c r="G61" s="913"/>
      <c r="H61" s="913"/>
      <c r="I61" s="913"/>
      <c r="J61" s="913"/>
      <c r="K61" s="913"/>
      <c r="L61" s="913"/>
      <c r="M61" s="913"/>
      <c r="N61" s="913"/>
      <c r="O61" s="913"/>
      <c r="P61" s="913"/>
      <c r="Q61" s="913"/>
      <c r="R61" s="913"/>
      <c r="S61" s="913"/>
      <c r="T61" s="913"/>
      <c r="U61" s="913"/>
      <c r="V61" s="913"/>
      <c r="W61" s="913"/>
      <c r="X61" s="913"/>
      <c r="Y61" s="913"/>
      <c r="Z61" s="913"/>
      <c r="AA61" s="913"/>
      <c r="AB61" s="913"/>
      <c r="AC61" s="914"/>
      <c r="AD61" s="225"/>
      <c r="AE61" s="176"/>
      <c r="AH61" s="1" t="e">
        <f>IF(AA35=Ceny_n!$B$184,IF(AI26=1,Ceny!$F$931,IF(AI26=2,Ceny!$G$931,0)),0)</f>
        <v>#REF!</v>
      </c>
      <c r="AI61" s="1" t="str">
        <f>IF(AG54=3,AH61,AH73)</f>
        <v xml:space="preserve"> </v>
      </c>
      <c r="AJ61" s="1">
        <f>IF(AC26=ZAVESY,Ceny!$E$960,0)</f>
        <v>299.89999999999998</v>
      </c>
      <c r="AL61" s="1">
        <f>Ceny_n!$B$968</f>
        <v>15596</v>
      </c>
      <c r="AM61" s="1">
        <f>Ceny_n!$B$967</f>
        <v>15595</v>
      </c>
      <c r="AN61" s="65" t="e">
        <f>IF(AI26=1,Ceny!$B$967,0)</f>
        <v>#REF!</v>
      </c>
      <c r="AO61" s="65"/>
      <c r="AP61" s="65" t="e">
        <f>IF(AI26=1,Ceny!$B$968,0)</f>
        <v>#REF!</v>
      </c>
      <c r="AQ61" s="65"/>
      <c r="AR61" s="65" t="e">
        <f>IF(AI26=1,Ceny!$B$969,0)</f>
        <v>#REF!</v>
      </c>
      <c r="AS61" s="1">
        <f>VLOOKUP(AL61,Ceny!$B$963:$E$970,4,0)</f>
        <v>11.9</v>
      </c>
      <c r="AT61" s="1">
        <f>VLOOKUP(AM61,Ceny!$B$963:$E$970,4,0)</f>
        <v>13.4</v>
      </c>
      <c r="AU61" s="1" t="e">
        <f>VLOOKUP(AN61,Ceny!$B$963:$E$970,4,0)</f>
        <v>#REF!</v>
      </c>
      <c r="AW61" s="1" t="e">
        <f>2*(VLOOKUP(AP61,Ceny!$B$963:$E$970,4,0))</f>
        <v>#REF!</v>
      </c>
      <c r="AX61" s="1" t="e">
        <f>2*(VLOOKUP(AR61,Ceny!$B$963:$E$970,4,0))</f>
        <v>#REF!</v>
      </c>
      <c r="AY61" s="1" t="e">
        <f t="shared" si="7"/>
        <v>#REF!</v>
      </c>
      <c r="BD61" s="48" t="e">
        <v>#REF!</v>
      </c>
      <c r="BE61" s="1" t="e">
        <f t="shared" si="0"/>
        <v>#REF!</v>
      </c>
    </row>
    <row r="62" spans="2:57" ht="7.35" customHeight="1">
      <c r="B62" s="894"/>
      <c r="C62" s="895"/>
      <c r="D62" s="895"/>
      <c r="E62" s="895"/>
      <c r="F62" s="895"/>
      <c r="G62" s="913"/>
      <c r="H62" s="913"/>
      <c r="I62" s="913"/>
      <c r="J62" s="913"/>
      <c r="K62" s="913"/>
      <c r="L62" s="913"/>
      <c r="M62" s="913"/>
      <c r="N62" s="913"/>
      <c r="O62" s="913"/>
      <c r="P62" s="913"/>
      <c r="Q62" s="913"/>
      <c r="R62" s="913"/>
      <c r="S62" s="913"/>
      <c r="T62" s="913"/>
      <c r="U62" s="913"/>
      <c r="V62" s="913"/>
      <c r="W62" s="913"/>
      <c r="X62" s="913"/>
      <c r="Y62" s="913"/>
      <c r="Z62" s="913"/>
      <c r="AA62" s="913"/>
      <c r="AB62" s="913"/>
      <c r="AC62" s="914"/>
      <c r="AD62" s="225"/>
      <c r="AE62" s="176"/>
      <c r="AH62" s="1" t="e">
        <f>IF(AA35=Ceny_n!$B$184,IF(AI26=1,Ceny!$F$932,IF(AI26=2,Ceny!$G$932,0)),0)</f>
        <v>#REF!</v>
      </c>
      <c r="AI62" s="1" t="str">
        <f>IF(AG54=3,AH62,AH73)</f>
        <v xml:space="preserve"> </v>
      </c>
      <c r="AJ62" s="1">
        <f>IF(AC26=ZAVESY,Ceny!$E$961,0)</f>
        <v>299.89999999999998</v>
      </c>
      <c r="AL62" s="1">
        <f>Ceny_n!$B$968</f>
        <v>15596</v>
      </c>
      <c r="AM62" s="1">
        <f>Ceny_n!$B$967</f>
        <v>15595</v>
      </c>
      <c r="AN62" s="65" t="e">
        <f>IF(AI26=1,Ceny!$B$967,0)</f>
        <v>#REF!</v>
      </c>
      <c r="AO62" s="65"/>
      <c r="AP62" s="65" t="e">
        <f>IF(AI26=1,Ceny!$B$968,0)</f>
        <v>#REF!</v>
      </c>
      <c r="AQ62" s="65"/>
      <c r="AR62" s="65" t="e">
        <f>IF(AI26=1,Ceny!$B$969,0)</f>
        <v>#REF!</v>
      </c>
      <c r="AS62" s="1">
        <f>VLOOKUP(AL62,Ceny!$B$963:$E$970,4,0)</f>
        <v>11.9</v>
      </c>
      <c r="AT62" s="1">
        <f>VLOOKUP(AM62,Ceny!$B$963:$E$970,4,0)</f>
        <v>13.4</v>
      </c>
      <c r="AU62" s="1" t="e">
        <f>VLOOKUP(AN62,Ceny!$B$963:$E$970,4,0)</f>
        <v>#REF!</v>
      </c>
      <c r="AW62" s="1" t="e">
        <f>2*(VLOOKUP(AP62,Ceny!$B$963:$E$970,4,0))</f>
        <v>#REF!</v>
      </c>
      <c r="AX62" s="1" t="e">
        <f>2*(VLOOKUP(AR62,Ceny!$B$963:$E$970,4,0))</f>
        <v>#REF!</v>
      </c>
      <c r="AY62" s="1" t="e">
        <f t="shared" si="7"/>
        <v>#REF!</v>
      </c>
      <c r="BD62" s="48" t="e">
        <v>#REF!</v>
      </c>
      <c r="BE62" s="1" t="e">
        <f t="shared" si="0"/>
        <v>#REF!</v>
      </c>
    </row>
    <row r="63" spans="2:57" ht="7.35" customHeight="1">
      <c r="B63" s="894"/>
      <c r="C63" s="895"/>
      <c r="D63" s="895"/>
      <c r="E63" s="895"/>
      <c r="F63" s="895"/>
      <c r="G63" s="913"/>
      <c r="H63" s="913"/>
      <c r="I63" s="913"/>
      <c r="J63" s="913"/>
      <c r="K63" s="913"/>
      <c r="L63" s="913"/>
      <c r="M63" s="913"/>
      <c r="N63" s="913"/>
      <c r="O63" s="913"/>
      <c r="P63" s="913"/>
      <c r="Q63" s="913"/>
      <c r="R63" s="913"/>
      <c r="S63" s="913"/>
      <c r="T63" s="913"/>
      <c r="U63" s="913"/>
      <c r="V63" s="913"/>
      <c r="W63" s="913"/>
      <c r="X63" s="913"/>
      <c r="Y63" s="913"/>
      <c r="Z63" s="913"/>
      <c r="AA63" s="913"/>
      <c r="AB63" s="913"/>
      <c r="AC63" s="914"/>
      <c r="AD63" s="225"/>
      <c r="AE63" s="176"/>
      <c r="AH63" s="1" t="e">
        <f>IF(AA35=Ceny_n!$B$184,IF(AI26=1,Ceny!$F$933,IF(AI26=2,Ceny!$G$933,0)),0)</f>
        <v>#REF!</v>
      </c>
      <c r="AI63" s="1" t="str">
        <f>IF(AG54=3,AH63,AH73)</f>
        <v xml:space="preserve"> </v>
      </c>
      <c r="AJ63" s="1">
        <f>IF(AC26=ZAVESY,Ceny!$E$962,0)</f>
        <v>159</v>
      </c>
      <c r="AY63" s="1">
        <f t="shared" si="7"/>
        <v>159</v>
      </c>
      <c r="BD63" s="48" t="e">
        <v>#REF!</v>
      </c>
      <c r="BE63" s="1" t="e">
        <f t="shared" si="0"/>
        <v>#REF!</v>
      </c>
    </row>
    <row r="64" spans="2:57" ht="6" customHeight="1">
      <c r="B64" s="894"/>
      <c r="C64" s="895"/>
      <c r="D64" s="895"/>
      <c r="E64" s="895"/>
      <c r="F64" s="895"/>
      <c r="G64" s="913"/>
      <c r="H64" s="913"/>
      <c r="I64" s="913"/>
      <c r="J64" s="913"/>
      <c r="K64" s="913"/>
      <c r="L64" s="913"/>
      <c r="M64" s="913"/>
      <c r="N64" s="913"/>
      <c r="O64" s="913"/>
      <c r="P64" s="913"/>
      <c r="Q64" s="913"/>
      <c r="R64" s="913"/>
      <c r="S64" s="913"/>
      <c r="T64" s="913"/>
      <c r="U64" s="913"/>
      <c r="V64" s="913"/>
      <c r="W64" s="913"/>
      <c r="X64" s="913"/>
      <c r="Y64" s="913"/>
      <c r="Z64" s="913"/>
      <c r="AA64" s="913"/>
      <c r="AB64" s="913"/>
      <c r="AC64" s="914"/>
      <c r="AD64" s="225"/>
      <c r="AE64" s="176"/>
      <c r="AH64" s="1" t="e">
        <f>IF(AA35=Ceny_n!$B$184,IF(AI26=1,Ceny!$F$934,IF(AI26=2,Ceny!$G$934,0)),0)</f>
        <v>#REF!</v>
      </c>
      <c r="AI64" s="1" t="str">
        <f>IF(AG54=3,AH64,AH73)</f>
        <v xml:space="preserve"> </v>
      </c>
      <c r="BD64" s="48" t="e">
        <v>#REF!</v>
      </c>
      <c r="BE64" s="1" t="e">
        <f t="shared" si="0"/>
        <v>#REF!</v>
      </c>
    </row>
    <row r="65" spans="2:59" ht="7.35" customHeight="1" thickBot="1">
      <c r="B65" s="894"/>
      <c r="C65" s="895"/>
      <c r="D65" s="895"/>
      <c r="E65" s="895"/>
      <c r="F65" s="895"/>
      <c r="G65" s="913"/>
      <c r="H65" s="913"/>
      <c r="I65" s="913"/>
      <c r="J65" s="913"/>
      <c r="K65" s="913"/>
      <c r="L65" s="913"/>
      <c r="M65" s="913"/>
      <c r="N65" s="913"/>
      <c r="O65" s="913"/>
      <c r="P65" s="913"/>
      <c r="Q65" s="913"/>
      <c r="R65" s="913"/>
      <c r="S65" s="913"/>
      <c r="T65" s="913"/>
      <c r="U65" s="913"/>
      <c r="V65" s="913"/>
      <c r="W65" s="913"/>
      <c r="X65" s="913"/>
      <c r="Y65" s="913"/>
      <c r="Z65" s="913"/>
      <c r="AA65" s="913"/>
      <c r="AB65" s="913"/>
      <c r="AC65" s="914"/>
      <c r="AD65" s="225"/>
      <c r="AE65" s="176"/>
      <c r="AH65" s="1" t="e">
        <f>IF(AA35=Ceny_n!$B$184,IF(AI26=1,Ceny!$F$935,IF(AI26=2,Ceny!$G$935,0)),0)</f>
        <v>#REF!</v>
      </c>
      <c r="AI65" s="1" t="str">
        <f>IF(AG54=3,AH65,AH73)</f>
        <v xml:space="preserve"> </v>
      </c>
      <c r="BD65" s="52" t="e">
        <v>#REF!</v>
      </c>
      <c r="BE65" s="1" t="e">
        <f t="shared" si="0"/>
        <v>#REF!</v>
      </c>
    </row>
    <row r="66" spans="2:59" ht="7.35" customHeight="1">
      <c r="B66" s="894"/>
      <c r="C66" s="895"/>
      <c r="D66" s="895"/>
      <c r="E66" s="895"/>
      <c r="F66" s="895"/>
      <c r="G66" s="913"/>
      <c r="H66" s="913"/>
      <c r="I66" s="913"/>
      <c r="J66" s="913"/>
      <c r="K66" s="913"/>
      <c r="L66" s="913"/>
      <c r="M66" s="913"/>
      <c r="N66" s="913"/>
      <c r="O66" s="913"/>
      <c r="P66" s="913"/>
      <c r="Q66" s="913"/>
      <c r="R66" s="913"/>
      <c r="S66" s="913"/>
      <c r="T66" s="913"/>
      <c r="U66" s="913"/>
      <c r="V66" s="913"/>
      <c r="W66" s="913"/>
      <c r="X66" s="913"/>
      <c r="Y66" s="913"/>
      <c r="Z66" s="913"/>
      <c r="AA66" s="913"/>
      <c r="AB66" s="913"/>
      <c r="AC66" s="914"/>
      <c r="AD66" s="225"/>
      <c r="AE66" s="176"/>
      <c r="AH66" s="1" t="e">
        <f>IF(AA35=Ceny_n!$B$184,IF(AI26=1,Ceny!$F$936,IF(AI26=2,Ceny!$G$936,0)),0)</f>
        <v>#REF!</v>
      </c>
      <c r="AI66" s="1" t="str">
        <f>IF(AG54=3,AH66,AH73)</f>
        <v xml:space="preserve"> </v>
      </c>
    </row>
    <row r="67" spans="2:59" ht="7.35" customHeight="1">
      <c r="B67" s="894"/>
      <c r="C67" s="895"/>
      <c r="D67" s="895"/>
      <c r="E67" s="895"/>
      <c r="F67" s="895"/>
      <c r="G67" s="913"/>
      <c r="H67" s="913"/>
      <c r="I67" s="913"/>
      <c r="J67" s="913"/>
      <c r="K67" s="913"/>
      <c r="L67" s="913"/>
      <c r="M67" s="913"/>
      <c r="N67" s="913"/>
      <c r="O67" s="913"/>
      <c r="P67" s="913"/>
      <c r="Q67" s="913"/>
      <c r="R67" s="913"/>
      <c r="S67" s="913"/>
      <c r="T67" s="913"/>
      <c r="U67" s="913"/>
      <c r="V67" s="913"/>
      <c r="W67" s="913"/>
      <c r="X67" s="913"/>
      <c r="Y67" s="913"/>
      <c r="Z67" s="913"/>
      <c r="AA67" s="913"/>
      <c r="AB67" s="913"/>
      <c r="AC67" s="914"/>
      <c r="AD67" s="225"/>
      <c r="AE67" s="176"/>
      <c r="AH67" s="1" t="e">
        <f>IF(AA35=Ceny_n!$B$184,IF(AI26=1,Ceny!$F$937,IF(AI26=2,Ceny!$G$937,0)),0)</f>
        <v>#REF!</v>
      </c>
      <c r="AI67" s="1" t="str">
        <f>IF(AG54=3,AH67,AH73)</f>
        <v xml:space="preserve"> </v>
      </c>
    </row>
    <row r="68" spans="2:59" ht="20.25" customHeight="1">
      <c r="B68" s="894"/>
      <c r="C68" s="895"/>
      <c r="D68" s="895"/>
      <c r="E68" s="895"/>
      <c r="F68" s="895"/>
      <c r="G68" s="913"/>
      <c r="H68" s="913"/>
      <c r="I68" s="913"/>
      <c r="J68" s="913"/>
      <c r="K68" s="913"/>
      <c r="L68" s="913"/>
      <c r="M68" s="913"/>
      <c r="N68" s="913"/>
      <c r="O68" s="913"/>
      <c r="P68" s="913"/>
      <c r="Q68" s="913"/>
      <c r="R68" s="913"/>
      <c r="S68" s="913"/>
      <c r="T68" s="913"/>
      <c r="U68" s="913"/>
      <c r="V68" s="913"/>
      <c r="W68" s="913"/>
      <c r="X68" s="913"/>
      <c r="Y68" s="913"/>
      <c r="Z68" s="913"/>
      <c r="AA68" s="913"/>
      <c r="AB68" s="913"/>
      <c r="AC68" s="914"/>
      <c r="AD68" s="225"/>
      <c r="AE68" s="176"/>
      <c r="AH68" s="1" t="e">
        <f>IF(AA35=Ceny_n!$B$184,IF(AI26=1,Ceny!$F$938,IF(AI26=2,Ceny!$G$938,0)),0)</f>
        <v>#REF!</v>
      </c>
      <c r="AI68" s="1" t="str">
        <f>IF(AG54=3,AH68,AH73)</f>
        <v xml:space="preserve"> </v>
      </c>
    </row>
    <row r="69" spans="2:59" ht="7.35" customHeight="1">
      <c r="B69" s="894"/>
      <c r="C69" s="895"/>
      <c r="D69" s="895"/>
      <c r="E69" s="895"/>
      <c r="F69" s="895"/>
      <c r="G69" s="913"/>
      <c r="H69" s="913"/>
      <c r="I69" s="913"/>
      <c r="J69" s="913"/>
      <c r="K69" s="913"/>
      <c r="L69" s="913"/>
      <c r="M69" s="913"/>
      <c r="N69" s="913"/>
      <c r="O69" s="913"/>
      <c r="P69" s="913"/>
      <c r="Q69" s="913"/>
      <c r="R69" s="913"/>
      <c r="S69" s="913"/>
      <c r="T69" s="913"/>
      <c r="U69" s="913"/>
      <c r="V69" s="913"/>
      <c r="W69" s="913"/>
      <c r="X69" s="913"/>
      <c r="Y69" s="913"/>
      <c r="Z69" s="913"/>
      <c r="AA69" s="913"/>
      <c r="AB69" s="913"/>
      <c r="AC69" s="914"/>
      <c r="AD69" s="225"/>
      <c r="AE69" s="176"/>
      <c r="AH69" s="1" t="e">
        <f>IF(AA35=Ceny_n!$B$184,IF(AI26=1,Ceny!$F$939,IF(AI26=2,Ceny!$G$939,0)),0)</f>
        <v>#REF!</v>
      </c>
    </row>
    <row r="70" spans="2:59" ht="7.35" customHeight="1">
      <c r="B70" s="894"/>
      <c r="C70" s="895"/>
      <c r="D70" s="895"/>
      <c r="E70" s="895"/>
      <c r="F70" s="895"/>
      <c r="G70" s="913"/>
      <c r="H70" s="913"/>
      <c r="I70" s="913"/>
      <c r="J70" s="913"/>
      <c r="K70" s="913"/>
      <c r="L70" s="913"/>
      <c r="M70" s="913"/>
      <c r="N70" s="913"/>
      <c r="O70" s="913"/>
      <c r="P70" s="913"/>
      <c r="Q70" s="913"/>
      <c r="R70" s="913"/>
      <c r="S70" s="913"/>
      <c r="T70" s="913"/>
      <c r="U70" s="913"/>
      <c r="V70" s="913"/>
      <c r="W70" s="913"/>
      <c r="X70" s="913"/>
      <c r="Y70" s="913"/>
      <c r="Z70" s="913"/>
      <c r="AA70" s="913"/>
      <c r="AB70" s="913"/>
      <c r="AC70" s="914"/>
      <c r="AD70" s="225"/>
      <c r="AE70" s="176"/>
      <c r="AH70" s="1" t="e">
        <f>IF(AA35=Ceny_n!$B$184,IF(AI26=1,Ceny!$F$940,IF(AI26=2,Ceny!$G$940,0)),0)</f>
        <v>#REF!</v>
      </c>
    </row>
    <row r="71" spans="2:59" ht="7.35" customHeight="1">
      <c r="B71" s="894"/>
      <c r="C71" s="895"/>
      <c r="D71" s="895"/>
      <c r="E71" s="895"/>
      <c r="F71" s="895"/>
      <c r="G71" s="913"/>
      <c r="H71" s="913"/>
      <c r="I71" s="913"/>
      <c r="J71" s="913"/>
      <c r="K71" s="913"/>
      <c r="L71" s="913"/>
      <c r="M71" s="913"/>
      <c r="N71" s="913"/>
      <c r="O71" s="913"/>
      <c r="P71" s="913"/>
      <c r="Q71" s="913"/>
      <c r="R71" s="913"/>
      <c r="S71" s="913"/>
      <c r="T71" s="913"/>
      <c r="U71" s="913"/>
      <c r="V71" s="913"/>
      <c r="W71" s="913"/>
      <c r="X71" s="913"/>
      <c r="Y71" s="913"/>
      <c r="Z71" s="913"/>
      <c r="AA71" s="913"/>
      <c r="AB71" s="913"/>
      <c r="AC71" s="914"/>
      <c r="AD71" s="225"/>
      <c r="AE71" s="176"/>
      <c r="AH71" s="1" t="e">
        <f>IF(AA35=Ceny_n!$B$184,IF(AI26=1,Ceny!$F$941,IF(AI26=2,Ceny!$G$941,0)),0)</f>
        <v>#REF!</v>
      </c>
    </row>
    <row r="72" spans="2:59" ht="7.35" customHeight="1">
      <c r="B72" s="896"/>
      <c r="C72" s="897"/>
      <c r="D72" s="897"/>
      <c r="E72" s="897"/>
      <c r="F72" s="897"/>
      <c r="G72" s="915"/>
      <c r="H72" s="915"/>
      <c r="I72" s="915"/>
      <c r="J72" s="915"/>
      <c r="K72" s="915"/>
      <c r="L72" s="915"/>
      <c r="M72" s="915"/>
      <c r="N72" s="915"/>
      <c r="O72" s="915"/>
      <c r="P72" s="915"/>
      <c r="Q72" s="915"/>
      <c r="R72" s="915"/>
      <c r="S72" s="915"/>
      <c r="T72" s="915"/>
      <c r="U72" s="915"/>
      <c r="V72" s="915"/>
      <c r="W72" s="915"/>
      <c r="X72" s="915"/>
      <c r="Y72" s="915"/>
      <c r="Z72" s="915"/>
      <c r="AA72" s="915"/>
      <c r="AB72" s="915"/>
      <c r="AC72" s="916"/>
      <c r="AD72" s="225"/>
      <c r="AE72" s="176"/>
      <c r="AH72" s="1" t="e">
        <f>IF(AA35=Ceny_n!$B$184,IF(AI26=1,Ceny!$F$942,IF(AI26=2,Ceny!$G$942,0)),0)</f>
        <v>#REF!</v>
      </c>
    </row>
    <row r="73" spans="2:59" ht="7.5" customHeight="1">
      <c r="B73" s="9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4"/>
      <c r="AD73" s="226"/>
      <c r="AE73" s="177"/>
      <c r="AH73" s="1" t="s">
        <v>677</v>
      </c>
    </row>
    <row r="74" spans="2:59" ht="26.25">
      <c r="B74" s="120" t="s">
        <v>1</v>
      </c>
      <c r="C74" s="872" t="str">
        <f>Ceny_n!$B$129</f>
        <v>Rámeček</v>
      </c>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872"/>
      <c r="AB74" s="872"/>
      <c r="AC74" s="873"/>
      <c r="AD74" s="218"/>
      <c r="AE74" s="166"/>
    </row>
    <row r="75" spans="2:59" ht="15.75" thickBot="1">
      <c r="B75" s="79"/>
      <c r="AC75" s="76"/>
      <c r="AD75" s="227" t="s">
        <v>1192</v>
      </c>
      <c r="AJ75" s="938" t="s">
        <v>1501</v>
      </c>
      <c r="AK75" s="938"/>
    </row>
    <row r="76" spans="2:59" ht="15.75" thickBot="1">
      <c r="B76" s="80"/>
      <c r="D76" s="917" t="str">
        <f>IF(H76=1,AC85,"")</f>
        <v/>
      </c>
      <c r="E76" s="918"/>
      <c r="F76" s="918"/>
      <c r="G76" s="918"/>
      <c r="H76" s="38">
        <f>IF(AG108=3,1,0)</f>
        <v>0</v>
      </c>
      <c r="I76" s="38"/>
      <c r="J76" s="38"/>
      <c r="K76" s="38" t="b">
        <f>IF(AG108=3,IF(AC84=4,1,0))</f>
        <v>0</v>
      </c>
      <c r="L76" s="38"/>
      <c r="M76" s="38" t="b">
        <f>IF(AG108=3,IF(AC84=3,1,0))</f>
        <v>0</v>
      </c>
      <c r="N76" s="38"/>
      <c r="O76" s="38" t="b">
        <f>IF(AG108=3,IF(AC84=4,1,0))</f>
        <v>0</v>
      </c>
      <c r="P76" s="38"/>
      <c r="Q76" s="38"/>
      <c r="R76" s="38">
        <f>IF(AG108=3,1,0)</f>
        <v>0</v>
      </c>
      <c r="S76" s="959" t="str">
        <f>IF(R76=1,AC85,"")</f>
        <v/>
      </c>
      <c r="T76" s="959"/>
      <c r="U76" s="959"/>
      <c r="V76" s="959"/>
      <c r="W76" s="960"/>
      <c r="Y76" s="40"/>
      <c r="AA76" s="799"/>
      <c r="AB76" s="799"/>
      <c r="AC76" s="76"/>
      <c r="AG76" s="1" t="s">
        <v>87</v>
      </c>
      <c r="AH76" s="1" t="s">
        <v>88</v>
      </c>
      <c r="AI76" s="1" t="s">
        <v>89</v>
      </c>
      <c r="AJ76" s="1" t="s">
        <v>6</v>
      </c>
      <c r="AL76" s="1" t="s">
        <v>99</v>
      </c>
      <c r="AM76" s="1" t="s">
        <v>90</v>
      </c>
      <c r="AN76" s="1" t="s">
        <v>109</v>
      </c>
      <c r="AP76" s="1" t="s">
        <v>91</v>
      </c>
      <c r="AR76" s="1" t="s">
        <v>93</v>
      </c>
      <c r="AS76" s="1" t="s">
        <v>92</v>
      </c>
      <c r="BB76" s="1">
        <v>0</v>
      </c>
      <c r="BD76" s="1" t="e">
        <f>IF(ISNA(VLOOKUP(AC82,#REF!,14,FALSE)),2,IF(VLOOKUP(AC82,#REF!,14,FALSE)="N",1,2))</f>
        <v>#REF!</v>
      </c>
    </row>
    <row r="77" spans="2:59" ht="18" customHeight="1">
      <c r="B77" s="80"/>
      <c r="D77" s="902" t="str">
        <f>IF(D81=1,AC85,"")</f>
        <v/>
      </c>
      <c r="E77" s="41"/>
      <c r="F77" s="42"/>
      <c r="G77" s="42"/>
      <c r="H77" s="42"/>
      <c r="I77" s="42"/>
      <c r="J77" s="42"/>
      <c r="K77" s="42"/>
      <c r="L77" s="42"/>
      <c r="M77" s="42"/>
      <c r="N77" s="42"/>
      <c r="O77" s="42"/>
      <c r="P77" s="42"/>
      <c r="Q77" s="42"/>
      <c r="R77" s="42"/>
      <c r="S77" s="42"/>
      <c r="T77" s="42"/>
      <c r="U77" s="42"/>
      <c r="V77" s="43"/>
      <c r="W77" s="902" t="str">
        <f>IF(W81=1,AC85,"")</f>
        <v/>
      </c>
      <c r="AA77" s="927" t="str">
        <f>Ceny_n!$B$132</f>
        <v>Typ profilu</v>
      </c>
      <c r="AB77" s="928"/>
      <c r="AC77" s="206" t="s">
        <v>997</v>
      </c>
      <c r="AD77" s="167" t="s">
        <v>1645</v>
      </c>
      <c r="AE77" s="167"/>
      <c r="AF77" s="87">
        <f>IF(AC81=AV_HL_SD,TYP_RAM,AG82)</f>
        <v>0</v>
      </c>
      <c r="AG77" s="1">
        <f>VLOOKUP(AC77,$B$348:$D$391,2,0)</f>
        <v>385.22</v>
      </c>
      <c r="AH77" s="1">
        <f>AG77*(((L106/1000)+(Y82/1000))*2)</f>
        <v>0</v>
      </c>
      <c r="AI77" s="1">
        <f>AH77*AC79</f>
        <v>0</v>
      </c>
      <c r="AJ77" s="1">
        <f>VLOOKUP(AC77,$B$348:$D$391,3,0)</f>
        <v>156.56</v>
      </c>
      <c r="AL77" s="1">
        <f>VLOOKUP(AC77,$B$348:$I$392,AH81,0)</f>
        <v>0</v>
      </c>
      <c r="AM77" s="1">
        <f>AJ77*AC79</f>
        <v>0</v>
      </c>
      <c r="AN77" s="1">
        <f>AL77*AC79</f>
        <v>0</v>
      </c>
      <c r="AP77" s="1">
        <f>VLOOKUP(AC78,$B$403:$C$477,2,0)</f>
        <v>0</v>
      </c>
      <c r="AR77" s="1">
        <f>(L106/1000)*(Y82/1000)*AP77</f>
        <v>0</v>
      </c>
      <c r="AS77" s="1">
        <f>AR77*AC79</f>
        <v>0</v>
      </c>
      <c r="BB77" s="937" t="s">
        <v>1170</v>
      </c>
      <c r="BC77" s="937"/>
      <c r="BD77" s="937"/>
      <c r="BE77" s="937"/>
      <c r="BF77" s="937"/>
      <c r="BG77" s="937"/>
    </row>
    <row r="78" spans="2:59" ht="18" customHeight="1" thickBot="1">
      <c r="B78" s="80"/>
      <c r="D78" s="902"/>
      <c r="E78" s="44"/>
      <c r="F78" s="45"/>
      <c r="G78" s="45"/>
      <c r="H78" s="45"/>
      <c r="I78" s="45"/>
      <c r="J78" s="45"/>
      <c r="K78" s="45"/>
      <c r="L78" s="45"/>
      <c r="M78" s="45"/>
      <c r="N78" s="45"/>
      <c r="O78" s="45"/>
      <c r="P78" s="45"/>
      <c r="Q78" s="45"/>
      <c r="R78" s="45"/>
      <c r="S78" s="45"/>
      <c r="T78" s="45"/>
      <c r="U78" s="45"/>
      <c r="V78" s="46"/>
      <c r="W78" s="902"/>
      <c r="AA78" s="907" t="str">
        <f>Ceny_n!$B$133</f>
        <v>Typ skla</v>
      </c>
      <c r="AB78" s="908"/>
      <c r="AC78" s="207"/>
      <c r="AD78" s="167" t="s">
        <v>1507</v>
      </c>
      <c r="AE78" s="168"/>
      <c r="AF78" s="1" t="str">
        <f>Ceny_n!$B$199</f>
        <v>Vyberte ze seznamu</v>
      </c>
      <c r="AG78" s="1" t="s">
        <v>220</v>
      </c>
      <c r="AH78" s="1" t="s">
        <v>226</v>
      </c>
      <c r="AI78" s="1" t="s">
        <v>227</v>
      </c>
      <c r="AJ78" s="1" t="s">
        <v>371</v>
      </c>
      <c r="AL78" s="1" t="s">
        <v>29</v>
      </c>
      <c r="BB78" s="178" t="s">
        <v>1051</v>
      </c>
      <c r="BC78" s="179" t="s">
        <v>1057</v>
      </c>
      <c r="BD78" s="182" t="s">
        <v>1078</v>
      </c>
      <c r="BE78" s="182"/>
      <c r="BF78" s="1" t="s">
        <v>1166</v>
      </c>
      <c r="BG78" s="1" t="s">
        <v>1167</v>
      </c>
    </row>
    <row r="79" spans="2:59" ht="18" customHeight="1" thickBot="1">
      <c r="B79" s="80"/>
      <c r="D79" s="902"/>
      <c r="E79" s="44"/>
      <c r="F79" s="45"/>
      <c r="G79" s="45"/>
      <c r="H79" s="45"/>
      <c r="I79" s="45"/>
      <c r="J79" s="45"/>
      <c r="K79" s="45"/>
      <c r="L79" s="45"/>
      <c r="M79" s="45"/>
      <c r="N79" s="45"/>
      <c r="O79" s="45"/>
      <c r="P79" s="45"/>
      <c r="Q79" s="45"/>
      <c r="R79" s="45"/>
      <c r="S79" s="45"/>
      <c r="T79" s="45"/>
      <c r="U79" s="45"/>
      <c r="V79" s="46"/>
      <c r="W79" s="902"/>
      <c r="AA79" s="907" t="str">
        <f>Ceny_n!$B$134</f>
        <v>Počet kusů</v>
      </c>
      <c r="AB79" s="908"/>
      <c r="AC79" s="207"/>
      <c r="AD79" s="167" t="s">
        <v>1195</v>
      </c>
      <c r="AE79" s="168"/>
      <c r="AF79" s="1" t="str">
        <f>IF(AC77=AF78,"",Ceny!$B$141)</f>
        <v>Závěsy</v>
      </c>
      <c r="AG79" s="1" t="e">
        <f>VLOOKUP(AR80,Ceny!$B$847:$D$917,3,0)</f>
        <v>#VALUE!</v>
      </c>
      <c r="AH79" s="1" t="e">
        <f>VLOOKUP(AW80,Ceny!$B$847:$D$917,3,0)</f>
        <v>#VALUE!</v>
      </c>
      <c r="AI79" s="1" t="e">
        <f>(AG79+AH79)*AC79*AC84</f>
        <v>#VALUE!</v>
      </c>
      <c r="AJ79" s="1">
        <f>IF(AC89=0,0,VLOOKUP(AC89,AI103:AY117,13,0))</f>
        <v>0</v>
      </c>
      <c r="AL79" s="1">
        <f>AG99*AC79*AJ79</f>
        <v>0</v>
      </c>
      <c r="AP79" s="938" t="s">
        <v>1502</v>
      </c>
      <c r="AQ79" s="938"/>
      <c r="BB79" s="47" t="e">
        <f t="array" ref="BB79:BB96">IF(AI80=1,PANT_HETTICH_WIDE,PANT_HETTICH_SLIM)</f>
        <v>#REF!</v>
      </c>
      <c r="BC79" s="185" t="e">
        <f t="array" ref="BC79:BC96">IF(AI80=2,PANT_BLUM_WIDE,PANT_BLUM_SLIM)</f>
        <v>#REF!</v>
      </c>
      <c r="BD79" s="47" t="e">
        <f t="array" ref="BD79:BD119">IF(ISNA(IF(AND(AI80=2,AC88=NAHORE),VYKLOP_UP_WIDE,
IF(AND(AI80=2,AC88=DOLE),VYKLOP_DWN_WIDE,
IF(AND(AI80=1,AC88=NAHORE),VYKLOP_UP_SLIM,
IF(AND(AI80=1,AC88=DOLE),VYKLOP_DWN_SLIM,""))))),"",IF(BD76=2,"",IF(AND(AI80=2,AC88=NAHORE),VYKLOP_UP_WIDE,
IF(AND(AI80=2,AC88=DOLE),VYKLOP_DWN_WIDE,
IF(AND(AI80=1,AC88=NAHORE),VYKLOP_UP_SLIM,
IF(AND(AI80=1,AC88=DOLE),VYKLOP_DWN_SLIM,""))))))</f>
        <v>#REF!</v>
      </c>
      <c r="BE79" s="1" t="e">
        <f>IF(OR(ISNA(BD79),BD79="",BD79=0),"",1)</f>
        <v>#REF!</v>
      </c>
      <c r="BF79" s="47" t="e">
        <f t="array" ref="BF79:BF95">IF(AI80=1,PANT_STRONG_SLIM_BTL,PANT_STRONG_WIDE_BTL)</f>
        <v>#REF!</v>
      </c>
      <c r="BG79" s="47" t="e">
        <f t="array" ref="BG79:BG95">IF(AI80=1,PANT_STRONG_SLIM_STL,PANT_STRONG_WIDE_STL)</f>
        <v>#REF!</v>
      </c>
    </row>
    <row r="80" spans="2:59" ht="18" customHeight="1" thickBot="1">
      <c r="B80" s="80"/>
      <c r="D80" s="902"/>
      <c r="E80" s="44"/>
      <c r="F80" s="45"/>
      <c r="G80" s="45"/>
      <c r="H80" s="45"/>
      <c r="I80" s="45"/>
      <c r="J80" s="45"/>
      <c r="K80" s="45"/>
      <c r="L80" s="45"/>
      <c r="M80" s="45"/>
      <c r="N80" s="45"/>
      <c r="O80" s="45"/>
      <c r="P80" s="45"/>
      <c r="Q80" s="45"/>
      <c r="R80" s="45"/>
      <c r="S80" s="45"/>
      <c r="T80" s="45"/>
      <c r="U80" s="45"/>
      <c r="V80" s="46"/>
      <c r="W80" s="902"/>
      <c r="AA80" s="907" t="str">
        <f>Ceny_n!$B$215</f>
        <v>Typ kování</v>
      </c>
      <c r="AB80" s="908"/>
      <c r="AC80" s="207"/>
      <c r="AD80" s="167" t="s">
        <v>1189</v>
      </c>
      <c r="AE80" s="168"/>
      <c r="AF80" s="87" t="str">
        <f>IF(AC77=AF78,"",AV_HF)</f>
        <v>AVENTOS HF</v>
      </c>
      <c r="AI80" s="1" t="e">
        <f>IF(AC77=AF78,0,VLOOKUP(AC77,#REF!,2,0))</f>
        <v>#REF!</v>
      </c>
      <c r="AJ80" s="193" t="str">
        <f>IF(AC80=AV_HF,HOR_DV,
IF(AC80=AV_HF_SD,HOR_DV,
IF(AC80=AV_OST,AV_HK,
IF(AC80=ZAVESY,PRAZDNE_1,""))))</f>
        <v/>
      </c>
      <c r="AK80" s="194" t="str">
        <f t="shared" ref="AK80:AK91" si="8">IF(OR(ISNA(AJ80),AJ80=""),"",1)</f>
        <v/>
      </c>
      <c r="AL80" s="799" t="s">
        <v>21</v>
      </c>
      <c r="AM80" s="799"/>
      <c r="AN80" s="799"/>
      <c r="AO80" s="181"/>
      <c r="AP80" s="1" t="e">
        <f>IF(AE82=AP81,1,IF(AE82=AP82,2,IF(AE82=AP83,3,IF(AE82=AP84,4,IF(AE82=AP85,5,IF(AE82=AP86,6,IF(AE82=AP87,7,0)))))))</f>
        <v>#VALUE!</v>
      </c>
      <c r="AR80" s="1" t="e">
        <f>VLOOKUP(AP80,AL81:AR396,5,0)</f>
        <v>#VALUE!</v>
      </c>
      <c r="AS80" s="945" t="s">
        <v>1174</v>
      </c>
      <c r="AT80" s="945"/>
      <c r="AU80" s="1" t="e">
        <f>IF(AE83=AU81,1,IF(AE83=AU82,2,0))</f>
        <v>#VALUE!</v>
      </c>
      <c r="AW80" s="1" t="e">
        <f>VLOOKUP(AU80,AL81:AS82,6,0)</f>
        <v>#VALUE!</v>
      </c>
      <c r="BB80" s="48" t="e">
        <v>#REF!</v>
      </c>
      <c r="BC80" s="186" t="e">
        <v>#REF!</v>
      </c>
      <c r="BD80" s="48" t="e">
        <v>#REF!</v>
      </c>
      <c r="BE80" s="1" t="e">
        <f t="shared" ref="BE80:BE119" si="9">IF(OR(ISNA(BD80),BD80="",BD80=0),"",1)</f>
        <v>#REF!</v>
      </c>
      <c r="BF80" s="48" t="e">
        <v>#REF!</v>
      </c>
      <c r="BG80" s="48" t="e">
        <v>#REF!</v>
      </c>
    </row>
    <row r="81" spans="2:59" ht="18" customHeight="1">
      <c r="B81" s="80"/>
      <c r="D81" s="37">
        <f>IF(AG108=2,1,0)</f>
        <v>0</v>
      </c>
      <c r="E81" s="44"/>
      <c r="F81" s="45"/>
      <c r="G81" s="45"/>
      <c r="H81" s="45"/>
      <c r="I81" s="45"/>
      <c r="J81" s="45"/>
      <c r="K81" s="45"/>
      <c r="L81" s="45"/>
      <c r="M81" s="45"/>
      <c r="N81" s="45"/>
      <c r="O81" s="45"/>
      <c r="P81" s="45"/>
      <c r="Q81" s="45"/>
      <c r="R81" s="45"/>
      <c r="S81" s="45"/>
      <c r="T81" s="45"/>
      <c r="U81" s="45"/>
      <c r="V81" s="46"/>
      <c r="W81" s="37">
        <f>IF(AG108=1,1,0)</f>
        <v>0</v>
      </c>
      <c r="AA81" s="907">
        <f>IF(AC80=AV_HF,POZ_RAM,
IF(AC80=AV_HF_SD,POZ_RAM,
IF(AC80=ZAVESY,VYR_ZAVES,
IF(AC80=AV_OST,TYP_AV,0))))</f>
        <v>0</v>
      </c>
      <c r="AB81" s="908"/>
      <c r="AC81" s="208"/>
      <c r="AD81" s="219" t="s">
        <v>1199</v>
      </c>
      <c r="AE81" s="169"/>
      <c r="AF81" s="87" t="str">
        <f>IF(AC77=AF78,"",AV_HF_SD)</f>
        <v>AVENTOS HF Servo Drive</v>
      </c>
      <c r="AH81" s="1">
        <f>IF(AC80=AV_HF,5,IF(AC80=AV_HF_SD,5,IF(AC80=AV_OST,5,8)))</f>
        <v>8</v>
      </c>
      <c r="AI81" s="190" t="e">
        <f>IF(AI80=1,$B$480,IF(AI80=2,$B$484,0))</f>
        <v>#REF!</v>
      </c>
      <c r="AJ81" s="195" t="str">
        <f>IF(AC80=AV_HF,DOL_DV,
IF(AC80=AV_HF_SD,DOL_DV,
IF(AC80=AV_OST,AV_HK_TIP,
IF(AC80=ZAVESY,BLUM,""))))</f>
        <v/>
      </c>
      <c r="AK81" s="196" t="str">
        <f t="shared" si="8"/>
        <v/>
      </c>
      <c r="AL81" s="1">
        <v>1</v>
      </c>
      <c r="AM81" s="1" t="e">
        <f>IF(AC81=PRAZDNE_1,AI81,IF(AC81=BLUM,BC79,IF(AC81=STRONG_INT_TL,AI98,IF(AC81=STRONG_BINT_TL,AI94,IF(AC81=HETTICH,BB79,"")))))</f>
        <v>#REF!</v>
      </c>
      <c r="AN81" s="1" t="e">
        <f t="shared" ref="AN81:AN95" si="10">IF(ISNA(VLOOKUP(AM81,$B$480:$C$615,2,0)),"",VLOOKUP(AM81,$B$480:$C$615,2,0))</f>
        <v>#REF!</v>
      </c>
      <c r="AO81" s="1" t="e">
        <f>CONCATENATE(AN81," (",AM81,")")</f>
        <v>#REF!</v>
      </c>
      <c r="AP81" s="199">
        <f t="array" ref="AP81:AP106">IF(OR(AC80=AV_HF,AC80=AV_HF_SD),HF_TYP_2_CILKA,
IF(AC81=AV_HL,TYP_RAM_AV_HL1,
IF(AC81=AV_HL_SD,TYP_RAM_AV_HL,
IF(OR(AC81=AV_HKXS,AC81=AV_HKXS_TIP),UMISTENI_RAM_HKXS,
IF(AC81=HETTICH,T1_PANT_HETTICH,
IF(AC81=BLUM,T1_PANT_BLUM,
IF(AC81=STRONG_BINT_TL,T1_PANT_STRONG_BTL,
IF(AC81=STRONG_INT_TL,T1_PANT_STRONG_STL,PRAZDNE_1))))))))</f>
        <v>0</v>
      </c>
      <c r="AQ81" s="194" t="str">
        <f>IF(OR(ISNA(AP81),AP81=0),"",1)</f>
        <v/>
      </c>
      <c r="AS81" s="202" t="e">
        <f>VLOOKUP(AR80,#REF!,8,0)</f>
        <v>#VALUE!</v>
      </c>
      <c r="AT81" s="194" t="e">
        <f>IF(OR(ISNA(AS81),AS81=0),"",1)</f>
        <v>#VALUE!</v>
      </c>
      <c r="AU81" s="1" t="e">
        <f>IF(OR(ISNA(AS81),AS81=0),PRAZDNE_1,VLOOKUP(AR80,#REF!,5,FALSE))</f>
        <v>#VALUE!</v>
      </c>
      <c r="BB81" s="48" t="e">
        <v>#REF!</v>
      </c>
      <c r="BC81" s="186" t="e">
        <v>#REF!</v>
      </c>
      <c r="BD81" s="48" t="e">
        <v>#REF!</v>
      </c>
      <c r="BE81" s="1" t="e">
        <f t="shared" si="9"/>
        <v>#REF!</v>
      </c>
      <c r="BF81" s="48" t="e">
        <v>#REF!</v>
      </c>
      <c r="BG81" s="48" t="e">
        <v>#REF!</v>
      </c>
    </row>
    <row r="82" spans="2:59" ht="18" customHeight="1">
      <c r="B82" s="80"/>
      <c r="D82" s="37"/>
      <c r="E82" s="44"/>
      <c r="F82" s="45"/>
      <c r="G82" s="45"/>
      <c r="H82" s="45"/>
      <c r="I82" s="45"/>
      <c r="J82" s="45"/>
      <c r="K82" s="45"/>
      <c r="L82" s="45"/>
      <c r="M82" s="45"/>
      <c r="N82" s="45"/>
      <c r="O82" s="45"/>
      <c r="P82" s="45"/>
      <c r="Q82" s="45"/>
      <c r="R82" s="32"/>
      <c r="S82" s="32"/>
      <c r="T82" s="32"/>
      <c r="U82" s="32"/>
      <c r="V82" s="33"/>
      <c r="W82" s="37"/>
      <c r="Y82" s="932"/>
      <c r="Z82" s="909"/>
      <c r="AA82" s="907" t="e">
        <f>#VALUE!</f>
        <v>#VALUE!</v>
      </c>
      <c r="AB82" s="908"/>
      <c r="AC82" s="234"/>
      <c r="AD82" s="220" t="s">
        <v>1200</v>
      </c>
      <c r="AE82" s="170" t="e">
        <f>IF(AA82=HM_UCH,0,AC82)</f>
        <v>#VALUE!</v>
      </c>
      <c r="AF82" s="87" t="str">
        <f>IF(AC77=AF78,"",AV_OST)</f>
        <v>Aventos ostatní</v>
      </c>
      <c r="AG82" s="1">
        <f>IF(AC81=AV_HL_SD,HM_UCH,IF(AC81=AV_HS_SD,HM_UCH,0))</f>
        <v>0</v>
      </c>
      <c r="AI82" s="191" t="e">
        <f>IF(AI80=1,$B$481,IF(AI80=2,$B$485,0))</f>
        <v>#REF!</v>
      </c>
      <c r="AJ82" s="195" t="str">
        <f>IF(AC80=AV_OST,AV_HK_SD,
IF(AC80=ZAVESY,HETTICH,""))</f>
        <v/>
      </c>
      <c r="AK82" s="196" t="str">
        <f t="shared" si="8"/>
        <v/>
      </c>
      <c r="AL82" s="1">
        <v>2</v>
      </c>
      <c r="AM82" s="1" t="e">
        <f>IF(AC81=PRAZDNE_1,AI82,IF(AC81=BLUM,BC80,IF(AC81=STRONG_INT_TL,AI99,IF(AC81=STRONG_BINT_TL,AI95,IF(AC81=HETTICH,BB80,"")))))</f>
        <v>#REF!</v>
      </c>
      <c r="AN82" s="1" t="e">
        <f t="shared" si="10"/>
        <v>#REF!</v>
      </c>
      <c r="AO82" s="1" t="e">
        <f t="shared" ref="AO82:AO106" si="11">CONCATENATE(AN82," (",AM82,")")</f>
        <v>#REF!</v>
      </c>
      <c r="AP82" s="200">
        <v>0</v>
      </c>
      <c r="AQ82" s="196" t="str">
        <f t="shared" ref="AQ82:AQ106" si="12">IF(OR(ISNA(AP82),AP82=0),"",1)</f>
        <v/>
      </c>
      <c r="AS82" s="203" t="e">
        <f>VLOOKUP(AR80,#REF!,9,0)</f>
        <v>#VALUE!</v>
      </c>
      <c r="AT82" s="196" t="e">
        <f t="shared" ref="AT82:AT90" si="13">IF(OR(ISNA(AS82),AS82=0),"",1)</f>
        <v>#VALUE!</v>
      </c>
      <c r="AU82" s="1" t="e">
        <f>IF(OR(ISNA(AS82),AS82=0),PRAZDNE_1,VLOOKUP(AR81,#REF!,5,FALSE))</f>
        <v>#VALUE!</v>
      </c>
      <c r="BB82" s="48" t="e">
        <v>#REF!</v>
      </c>
      <c r="BC82" s="186" t="e">
        <v>#REF!</v>
      </c>
      <c r="BD82" s="48" t="e">
        <v>#REF!</v>
      </c>
      <c r="BE82" s="1" t="e">
        <f t="shared" si="9"/>
        <v>#REF!</v>
      </c>
      <c r="BF82" s="48" t="e">
        <v>#REF!</v>
      </c>
      <c r="BG82" s="48" t="e">
        <v>#REF!</v>
      </c>
    </row>
    <row r="83" spans="2:59" ht="18" customHeight="1">
      <c r="B83" s="80"/>
      <c r="D83" s="37"/>
      <c r="E83" s="44"/>
      <c r="F83" s="45"/>
      <c r="G83" s="45"/>
      <c r="H83" s="45"/>
      <c r="I83" s="45"/>
      <c r="J83" s="45"/>
      <c r="K83" s="45"/>
      <c r="L83" s="45"/>
      <c r="M83" s="45"/>
      <c r="N83" s="45"/>
      <c r="O83" s="45"/>
      <c r="P83" s="45"/>
      <c r="Q83" s="45"/>
      <c r="R83" s="34" t="s">
        <v>15</v>
      </c>
      <c r="S83" s="45"/>
      <c r="T83" s="45"/>
      <c r="U83" s="49"/>
      <c r="V83" s="46"/>
      <c r="W83" s="37"/>
      <c r="Y83" s="933"/>
      <c r="Z83" s="910"/>
      <c r="AA83" s="907">
        <f>IF(AC80=AV_HF,HM_UCH,
IF(AC81=AV_HL,HM_UCH,
IF('Běžné rámečky'!AC81=AV_HL_SD,HM_UCH,
IF(AC80=AV_HF_SD,HM_UCH,
IF(AC80=ZAVESY,TYP_PODL,IF(AC81=AV_HKXS,HM_UCH,0))))))</f>
        <v>0</v>
      </c>
      <c r="AB83" s="908"/>
      <c r="AC83" s="208"/>
      <c r="AD83" s="220" t="s">
        <v>1209</v>
      </c>
      <c r="AE83" s="170">
        <f>IF(AA83=HM_UCH,0,AC83)</f>
        <v>0</v>
      </c>
      <c r="AF83" s="87" t="str">
        <f>IF(AC77=$B$372,0,$J$353)</f>
        <v>Závěsy se zvedacím pístem</v>
      </c>
      <c r="AI83" s="191" t="e">
        <f>IF(AI80=1,$B$482,IF(AI80=2,$B$486,0))</f>
        <v>#REF!</v>
      </c>
      <c r="AJ83" s="195" t="str">
        <f>IF(AC80=AV_OST,AV_HL,
IF(AC80=ZAVESY,STRONG_INT_TL,""))</f>
        <v/>
      </c>
      <c r="AK83" s="196" t="str">
        <f t="shared" si="8"/>
        <v/>
      </c>
      <c r="AL83" s="1">
        <v>3</v>
      </c>
      <c r="AM83" s="1" t="e">
        <f>IF(AC81=PRAZDNE_1,AI83,IF(AC81=BLUM,BC81,IF(AC81=STRONG_INT_TL,AI100,IF(AC81=STRONG_BINT_TL,AI96,IF(AC81=HETTICH,BB81,"")))))</f>
        <v>#REF!</v>
      </c>
      <c r="AN83" s="1" t="e">
        <f t="shared" si="10"/>
        <v>#REF!</v>
      </c>
      <c r="AO83" s="1" t="e">
        <f t="shared" si="11"/>
        <v>#REF!</v>
      </c>
      <c r="AP83" s="200">
        <v>0</v>
      </c>
      <c r="AQ83" s="196" t="str">
        <f t="shared" si="12"/>
        <v/>
      </c>
      <c r="AS83" s="203" t="e">
        <f>VLOOKUP(AR80,#REF!,10,0)</f>
        <v>#VALUE!</v>
      </c>
      <c r="AT83" s="196" t="e">
        <f t="shared" si="13"/>
        <v>#VALUE!</v>
      </c>
      <c r="AU83" s="1" t="e">
        <f>IF(OR(ISNA(AS83),AS83=0),PRAZDNE_1,VLOOKUP(AR82,#REF!,5,FALSE))</f>
        <v>#VALUE!</v>
      </c>
      <c r="BB83" s="48" t="e">
        <v>#REF!</v>
      </c>
      <c r="BC83" s="186" t="e">
        <v>#REF!</v>
      </c>
      <c r="BD83" s="48" t="e">
        <v>#REF!</v>
      </c>
      <c r="BE83" s="1" t="e">
        <f t="shared" si="9"/>
        <v>#REF!</v>
      </c>
      <c r="BF83" s="48" t="e">
        <v>#REF!</v>
      </c>
      <c r="BG83" s="48" t="e">
        <v>#REF!</v>
      </c>
    </row>
    <row r="84" spans="2:59" ht="18" customHeight="1">
      <c r="B84" s="80"/>
      <c r="D84" s="37" t="b">
        <f>IF(AG108=2,IF(AC84=4,1,0))</f>
        <v>0</v>
      </c>
      <c r="E84" s="44"/>
      <c r="F84" s="45"/>
      <c r="G84" s="45"/>
      <c r="H84" s="45"/>
      <c r="I84" s="45"/>
      <c r="J84" s="45"/>
      <c r="K84" s="45"/>
      <c r="L84" s="45"/>
      <c r="M84" s="45"/>
      <c r="N84" s="45"/>
      <c r="O84" s="45"/>
      <c r="P84" s="45"/>
      <c r="Q84" s="45"/>
      <c r="R84" s="45"/>
      <c r="S84" s="50"/>
      <c r="T84" s="51"/>
      <c r="U84" s="49"/>
      <c r="V84" s="46"/>
      <c r="W84" s="37" t="b">
        <f>IF(AG108=1,IF(AC84=4,1,0))</f>
        <v>0</v>
      </c>
      <c r="X84" s="30"/>
      <c r="Y84" s="933"/>
      <c r="Z84" s="910"/>
      <c r="AA84" s="907">
        <f>IF(AC80=ZAVESY,POC_ZAVES,0)</f>
        <v>0</v>
      </c>
      <c r="AB84" s="908"/>
      <c r="AC84" s="207"/>
      <c r="AD84" s="167" t="s">
        <v>1194</v>
      </c>
      <c r="AE84" s="168"/>
      <c r="AI84" s="191" t="e">
        <f>IF(AI80=1,$B$483,IF(AI80=2,$B$487,0))</f>
        <v>#REF!</v>
      </c>
      <c r="AJ84" s="195" t="str">
        <f>IF(AC80=AV_OST,AV_HL_SD,
IF(AC80=ZAVESY,STRONG_BINT_TL,""))</f>
        <v/>
      </c>
      <c r="AK84" s="196" t="str">
        <f t="shared" si="8"/>
        <v/>
      </c>
      <c r="AL84" s="1">
        <v>4</v>
      </c>
      <c r="AM84" s="1" t="e">
        <f>IF(AC81=PRAZDNE_1,AI84,IF(AC81=BLUM,BC82,IF(AC81=STRONG_INT_TL,AI101,IF(AC81=STRONG_BINT_TL,AI97,IF(AC81=HETTICH,BB82,"")))))</f>
        <v>#REF!</v>
      </c>
      <c r="AN84" s="1" t="e">
        <f t="shared" si="10"/>
        <v>#REF!</v>
      </c>
      <c r="AO84" s="1" t="e">
        <f t="shared" si="11"/>
        <v>#REF!</v>
      </c>
      <c r="AP84" s="200">
        <v>0</v>
      </c>
      <c r="AQ84" s="196" t="str">
        <f t="shared" si="12"/>
        <v/>
      </c>
      <c r="AS84" s="203" t="e">
        <f>VLOOKUP(AR80,#REF!,11,0)</f>
        <v>#VALUE!</v>
      </c>
      <c r="AT84" s="196" t="e">
        <f t="shared" si="13"/>
        <v>#VALUE!</v>
      </c>
      <c r="BB84" s="48" t="e">
        <v>#REF!</v>
      </c>
      <c r="BC84" s="186" t="e">
        <v>#REF!</v>
      </c>
      <c r="BD84" s="48" t="e">
        <v>#REF!</v>
      </c>
      <c r="BE84" s="1" t="e">
        <f t="shared" si="9"/>
        <v>#REF!</v>
      </c>
      <c r="BF84" s="48" t="e">
        <v>#REF!</v>
      </c>
      <c r="BG84" s="48" t="e">
        <v>#REF!</v>
      </c>
    </row>
    <row r="85" spans="2:59" ht="18" customHeight="1">
      <c r="B85" s="80"/>
      <c r="D85" s="37"/>
      <c r="E85" s="44"/>
      <c r="F85" s="45"/>
      <c r="G85" s="45"/>
      <c r="H85" s="45"/>
      <c r="I85" s="45"/>
      <c r="J85" s="45"/>
      <c r="K85" s="45"/>
      <c r="L85" s="45"/>
      <c r="M85" s="45"/>
      <c r="N85" s="45"/>
      <c r="O85" s="45"/>
      <c r="P85" s="45"/>
      <c r="Q85" s="45"/>
      <c r="R85" s="45"/>
      <c r="S85" s="931"/>
      <c r="T85" s="51"/>
      <c r="U85" s="49"/>
      <c r="V85" s="46"/>
      <c r="W85" s="37"/>
      <c r="Y85" s="933"/>
      <c r="Z85" s="910"/>
      <c r="AA85" s="907">
        <f>IF(AC80=ZAVESY,VZD_ZAVES,0)</f>
        <v>0</v>
      </c>
      <c r="AB85" s="908"/>
      <c r="AC85" s="209"/>
      <c r="AD85" s="167" t="s">
        <v>1195</v>
      </c>
      <c r="AE85" s="171"/>
      <c r="AF85" s="948"/>
      <c r="AI85" s="191" t="e">
        <f>IF(AI80=2,$B$488,0)</f>
        <v>#REF!</v>
      </c>
      <c r="AJ85" s="195" t="str">
        <f>IF(AC80=AV_OST,AV_HS,
IF(AC80=ZAVESY,
IF(AI80=1,PANT_STRONG_PLUS_SLIM,PANT_STRONG_SLIM_BTL),""))</f>
        <v/>
      </c>
      <c r="AK85" s="196" t="str">
        <f t="shared" si="8"/>
        <v/>
      </c>
      <c r="AL85" s="1">
        <v>5</v>
      </c>
      <c r="AM85" s="1" t="e">
        <f>IF(AC81=PRAZDNE_1,AI85,IF(AC81=BLUM,BC83,IF(AC81=HETTICH,BB83,"")))</f>
        <v>#REF!</v>
      </c>
      <c r="AN85" s="1" t="e">
        <f t="shared" si="10"/>
        <v>#REF!</v>
      </c>
      <c r="AO85" s="1" t="e">
        <f t="shared" si="11"/>
        <v>#REF!</v>
      </c>
      <c r="AP85" s="200">
        <v>0</v>
      </c>
      <c r="AQ85" s="196" t="str">
        <f t="shared" si="12"/>
        <v/>
      </c>
      <c r="AS85" s="203" t="e">
        <f>VLOOKUP(AR80,#REF!,12,0)</f>
        <v>#VALUE!</v>
      </c>
      <c r="AT85" s="196" t="e">
        <f t="shared" si="13"/>
        <v>#VALUE!</v>
      </c>
      <c r="BB85" s="48" t="e">
        <v>#REF!</v>
      </c>
      <c r="BC85" s="186" t="e">
        <v>#REF!</v>
      </c>
      <c r="BD85" s="48" t="e">
        <v>#REF!</v>
      </c>
      <c r="BE85" s="1" t="e">
        <f t="shared" si="9"/>
        <v>#REF!</v>
      </c>
      <c r="BF85" s="48" t="e">
        <v>#REF!</v>
      </c>
      <c r="BG85" s="48" t="e">
        <v>#REF!</v>
      </c>
    </row>
    <row r="86" spans="2:59" ht="24.75" customHeight="1" thickBot="1">
      <c r="B86" s="80"/>
      <c r="D86" s="37"/>
      <c r="E86" s="44"/>
      <c r="F86" s="45"/>
      <c r="G86" s="45"/>
      <c r="H86" s="45"/>
      <c r="I86" s="45"/>
      <c r="J86" s="45"/>
      <c r="K86" s="45"/>
      <c r="L86" s="45"/>
      <c r="M86" s="45"/>
      <c r="N86" s="45"/>
      <c r="O86" s="45"/>
      <c r="P86" s="45"/>
      <c r="Q86" s="45"/>
      <c r="R86" s="45"/>
      <c r="S86" s="931"/>
      <c r="T86" s="51"/>
      <c r="U86" s="49"/>
      <c r="V86" s="46"/>
      <c r="W86" s="37"/>
      <c r="Y86" s="933"/>
      <c r="Z86" s="910"/>
      <c r="AA86" s="188"/>
      <c r="AB86" s="189"/>
      <c r="AC86" s="210"/>
      <c r="AD86" s="221"/>
      <c r="AE86" s="172"/>
      <c r="AF86" s="948"/>
      <c r="AI86" s="192" t="e">
        <f>IF(AI80=2,$B$489,0)</f>
        <v>#REF!</v>
      </c>
      <c r="AJ86" s="195" t="str">
        <f>IF(AC80=AV_OST,AV_HS_SD,"")</f>
        <v/>
      </c>
      <c r="AK86" s="196" t="str">
        <f t="shared" si="8"/>
        <v/>
      </c>
      <c r="AL86" s="1">
        <v>6</v>
      </c>
      <c r="AM86" s="1" t="e">
        <f>IF(AC81=PRAZDNE_1,AI86,IF(AC81=BLUM,BC84,IF(AC81=HETTICH,BB84,"")))</f>
        <v>#REF!</v>
      </c>
      <c r="AN86" s="1" t="e">
        <f t="shared" si="10"/>
        <v>#REF!</v>
      </c>
      <c r="AO86" s="1" t="e">
        <f t="shared" si="11"/>
        <v>#REF!</v>
      </c>
      <c r="AP86" s="200">
        <v>0</v>
      </c>
      <c r="AQ86" s="196" t="str">
        <f t="shared" si="12"/>
        <v/>
      </c>
      <c r="AS86" s="203" t="e">
        <f>VLOOKUP(AR80,#REF!,13,0)</f>
        <v>#VALUE!</v>
      </c>
      <c r="AT86" s="196" t="e">
        <f t="shared" si="13"/>
        <v>#VALUE!</v>
      </c>
      <c r="BB86" s="48" t="e">
        <v>#REF!</v>
      </c>
      <c r="BC86" s="186" t="e">
        <v>#REF!</v>
      </c>
      <c r="BD86" s="48" t="e">
        <v>#REF!</v>
      </c>
      <c r="BE86" s="1" t="e">
        <f t="shared" si="9"/>
        <v>#REF!</v>
      </c>
      <c r="BF86" s="48" t="e">
        <v>#REF!</v>
      </c>
      <c r="BG86" s="48" t="e">
        <v>#REF!</v>
      </c>
    </row>
    <row r="87" spans="2:59" ht="18.75" customHeight="1">
      <c r="B87" s="80"/>
      <c r="D87" s="37"/>
      <c r="E87" s="44"/>
      <c r="F87" s="45"/>
      <c r="G87" s="45"/>
      <c r="H87" s="45"/>
      <c r="I87" s="45"/>
      <c r="J87" s="45"/>
      <c r="K87" s="45"/>
      <c r="L87" s="45"/>
      <c r="M87" s="45"/>
      <c r="N87" s="45"/>
      <c r="O87" s="45"/>
      <c r="P87" s="45"/>
      <c r="Q87" s="45"/>
      <c r="R87" s="45"/>
      <c r="S87" s="931"/>
      <c r="T87" s="51"/>
      <c r="U87" s="49"/>
      <c r="V87" s="46"/>
      <c r="W87" s="37"/>
      <c r="Y87" s="933"/>
      <c r="Z87" s="910"/>
      <c r="AA87" s="188"/>
      <c r="AB87" s="189"/>
      <c r="AC87" s="210"/>
      <c r="AD87" s="221"/>
      <c r="AE87" s="172"/>
      <c r="AF87" s="948"/>
      <c r="AI87" s="190" t="e">
        <f>IF(AI80=1,$B$499,IF(AI80=2,$B$507,0))</f>
        <v>#REF!</v>
      </c>
      <c r="AJ87" s="195" t="str">
        <f>IF(AC80=AV_OST,AV_HKS,"")</f>
        <v/>
      </c>
      <c r="AK87" s="196" t="str">
        <f t="shared" si="8"/>
        <v/>
      </c>
      <c r="AL87" s="1">
        <v>7</v>
      </c>
      <c r="AM87" s="1" t="str">
        <f>IF(AC81=HETTICH,BB85,IF(AC81=BLUM,BC85,""))</f>
        <v/>
      </c>
      <c r="AN87" s="1" t="str">
        <f t="shared" si="10"/>
        <v/>
      </c>
      <c r="AO87" s="1" t="str">
        <f t="shared" si="11"/>
        <v xml:space="preserve"> ()</v>
      </c>
      <c r="AP87" s="200">
        <v>0</v>
      </c>
      <c r="AQ87" s="196" t="str">
        <f t="shared" si="12"/>
        <v/>
      </c>
      <c r="AS87" s="203"/>
      <c r="AT87" s="196" t="str">
        <f t="shared" si="13"/>
        <v/>
      </c>
      <c r="BB87" s="48" t="e">
        <v>#REF!</v>
      </c>
      <c r="BC87" s="186" t="e">
        <v>#REF!</v>
      </c>
      <c r="BD87" s="48" t="e">
        <v>#REF!</v>
      </c>
      <c r="BE87" s="1" t="e">
        <f t="shared" si="9"/>
        <v>#REF!</v>
      </c>
      <c r="BF87" s="48" t="e">
        <v>#REF!</v>
      </c>
      <c r="BG87" s="48" t="e">
        <v>#REF!</v>
      </c>
    </row>
    <row r="88" spans="2:59" ht="18" customHeight="1">
      <c r="B88" s="80"/>
      <c r="D88" s="37" t="b">
        <f>IF(AG108=2,IF(AC84=3,1,0))</f>
        <v>0</v>
      </c>
      <c r="E88" s="44"/>
      <c r="F88" s="45"/>
      <c r="G88" s="45"/>
      <c r="H88" s="45"/>
      <c r="I88" s="45"/>
      <c r="J88" s="45"/>
      <c r="K88" s="45"/>
      <c r="L88" s="45"/>
      <c r="M88" s="45"/>
      <c r="N88" s="45"/>
      <c r="O88" s="45"/>
      <c r="P88" s="45"/>
      <c r="Q88" s="45"/>
      <c r="R88" s="45"/>
      <c r="S88" s="931"/>
      <c r="T88" s="51"/>
      <c r="U88" s="49"/>
      <c r="V88" s="46"/>
      <c r="W88" s="37" t="b">
        <f>IF(AG108=1,IF(AC84=3,1,0))</f>
        <v>0</v>
      </c>
      <c r="Y88" s="933"/>
      <c r="Z88" s="910"/>
      <c r="AA88" s="907">
        <f>IF(AC80=ZAVESY,Ceny!$B$196,0)</f>
        <v>0</v>
      </c>
      <c r="AB88" s="908"/>
      <c r="AC88" s="207"/>
      <c r="AD88" s="167" t="s">
        <v>1196</v>
      </c>
      <c r="AE88" s="168"/>
      <c r="AG88" s="1">
        <v>2</v>
      </c>
      <c r="AH88" s="1">
        <f>IF(AC80=ZAVESY,AG88,0)</f>
        <v>0</v>
      </c>
      <c r="AI88" s="191" t="e">
        <f>IF(AI80=1,$B$500,IF(AI80=2,$B$508,0))</f>
        <v>#REF!</v>
      </c>
      <c r="AJ88" s="195" t="str">
        <f>IF(AC80=AV_OST,AV_HKS_TIP,"")</f>
        <v/>
      </c>
      <c r="AK88" s="196" t="str">
        <f t="shared" si="8"/>
        <v/>
      </c>
      <c r="AL88" s="1">
        <v>8</v>
      </c>
      <c r="AM88" s="1" t="str">
        <f>IF(AC81=HETTICH,BB86,IF(AC81=BLUM,BC86,""))</f>
        <v/>
      </c>
      <c r="AN88" s="1" t="str">
        <f t="shared" si="10"/>
        <v/>
      </c>
      <c r="AO88" s="1" t="str">
        <f t="shared" si="11"/>
        <v xml:space="preserve"> ()</v>
      </c>
      <c r="AP88" s="200">
        <v>0</v>
      </c>
      <c r="AQ88" s="196" t="str">
        <f t="shared" si="12"/>
        <v/>
      </c>
      <c r="AS88" s="203"/>
      <c r="AT88" s="196" t="str">
        <f t="shared" si="13"/>
        <v/>
      </c>
      <c r="BB88" s="48" t="e">
        <v>#REF!</v>
      </c>
      <c r="BC88" s="186" t="e">
        <v>#REF!</v>
      </c>
      <c r="BD88" s="48" t="e">
        <v>#REF!</v>
      </c>
      <c r="BE88" s="1" t="e">
        <f t="shared" si="9"/>
        <v>#REF!</v>
      </c>
      <c r="BF88" s="48" t="e">
        <v>#REF!</v>
      </c>
      <c r="BG88" s="48" t="e">
        <v>#REF!</v>
      </c>
    </row>
    <row r="89" spans="2:59" ht="18" customHeight="1">
      <c r="B89" s="80"/>
      <c r="D89" s="37"/>
      <c r="E89" s="44"/>
      <c r="F89" s="45"/>
      <c r="G89" s="45"/>
      <c r="H89" s="45"/>
      <c r="I89" s="45"/>
      <c r="J89" s="45"/>
      <c r="K89" s="45"/>
      <c r="L89" s="45"/>
      <c r="M89" s="45"/>
      <c r="N89" s="45"/>
      <c r="O89" s="45"/>
      <c r="P89" s="45"/>
      <c r="Q89" s="45"/>
      <c r="R89" s="45"/>
      <c r="S89" s="904"/>
      <c r="T89" s="51"/>
      <c r="U89" s="49"/>
      <c r="V89" s="46"/>
      <c r="W89" s="37"/>
      <c r="Y89" s="933"/>
      <c r="Z89" s="910"/>
      <c r="AA89" s="907">
        <f>IF(AG108=1,0,IF(AG108=2,0,IF(AC80=ZAVESY,IF(BD76=2,0,Ceny!$B$184),0)))</f>
        <v>0</v>
      </c>
      <c r="AB89" s="908"/>
      <c r="AC89" s="152"/>
      <c r="AD89" s="167" t="s">
        <v>1505</v>
      </c>
      <c r="AE89" s="168"/>
      <c r="AF89" s="87" t="b">
        <v>1</v>
      </c>
      <c r="AG89" s="1">
        <v>3</v>
      </c>
      <c r="AH89" s="1">
        <f>IF(AC80=ZAVESY,AG89,0)</f>
        <v>0</v>
      </c>
      <c r="AI89" s="191" t="e">
        <f>IF(AI80=1,$B$501,IF(AI80=2,$B$509,0))</f>
        <v>#REF!</v>
      </c>
      <c r="AJ89" s="195" t="str">
        <f>IF(AC80=AV_OST,AV_HKXS,"")</f>
        <v/>
      </c>
      <c r="AK89" s="196" t="str">
        <f t="shared" si="8"/>
        <v/>
      </c>
      <c r="AL89" s="1">
        <v>9</v>
      </c>
      <c r="AM89" s="1" t="str">
        <f>IF(AC81=HETTICH,BB87,IF(AC81=BLUM,BC87,""))</f>
        <v/>
      </c>
      <c r="AN89" s="1" t="str">
        <f t="shared" si="10"/>
        <v/>
      </c>
      <c r="AO89" s="1" t="str">
        <f t="shared" si="11"/>
        <v xml:space="preserve"> ()</v>
      </c>
      <c r="AP89" s="200">
        <v>0</v>
      </c>
      <c r="AQ89" s="196" t="str">
        <f t="shared" si="12"/>
        <v/>
      </c>
      <c r="AS89" s="203"/>
      <c r="AT89" s="196" t="str">
        <f t="shared" si="13"/>
        <v/>
      </c>
      <c r="BB89" s="48" t="e">
        <v>#REF!</v>
      </c>
      <c r="BC89" s="186" t="e">
        <v>#REF!</v>
      </c>
      <c r="BD89" s="48" t="e">
        <v>#REF!</v>
      </c>
      <c r="BE89" s="1" t="e">
        <f t="shared" si="9"/>
        <v>#REF!</v>
      </c>
      <c r="BF89" s="48" t="e">
        <v>#REF!</v>
      </c>
      <c r="BG89" s="48" t="e">
        <v>#REF!</v>
      </c>
    </row>
    <row r="90" spans="2:59" ht="18" customHeight="1" thickBot="1">
      <c r="B90" s="80"/>
      <c r="D90" s="37" t="b">
        <f>IF(AG108=2,IF(AC84=4,1,0))</f>
        <v>0</v>
      </c>
      <c r="E90" s="44"/>
      <c r="F90" s="45"/>
      <c r="G90" s="45"/>
      <c r="H90" s="45"/>
      <c r="I90" s="45"/>
      <c r="J90" s="45"/>
      <c r="K90" s="45"/>
      <c r="L90" s="45"/>
      <c r="M90" s="45"/>
      <c r="N90" s="45"/>
      <c r="O90" s="45"/>
      <c r="P90" s="45"/>
      <c r="Q90" s="45"/>
      <c r="R90" s="45"/>
      <c r="S90" s="51"/>
      <c r="T90" s="51"/>
      <c r="U90" s="49"/>
      <c r="V90" s="46"/>
      <c r="W90" s="37" t="b">
        <f>IF(AG108=1,IF(AC84=4,1,0))</f>
        <v>0</v>
      </c>
      <c r="Y90" s="943" t="str">
        <f>Ceny_n!$B$136</f>
        <v>Výška</v>
      </c>
      <c r="Z90" s="910"/>
      <c r="AA90" s="946">
        <f>IF(AC89=0,0,Ceny!$B$186)</f>
        <v>0</v>
      </c>
      <c r="AB90" s="947"/>
      <c r="AC90" s="153"/>
      <c r="AD90" s="167" t="s">
        <v>1198</v>
      </c>
      <c r="AE90" s="168"/>
      <c r="AG90" s="1">
        <v>4</v>
      </c>
      <c r="AH90" s="1">
        <f>IF(AC80=ZAVESY,AG90,0)</f>
        <v>0</v>
      </c>
      <c r="AI90" s="191" t="e">
        <f>IF(AI80=1,$B$502,IF(AI80=2,$B$510,0))</f>
        <v>#REF!</v>
      </c>
      <c r="AJ90" s="197" t="str">
        <f>IF(AC80=AV_OST,AV_HKXS_TIP,"")</f>
        <v/>
      </c>
      <c r="AK90" s="198" t="str">
        <f t="shared" si="8"/>
        <v/>
      </c>
      <c r="AL90" s="1">
        <v>10</v>
      </c>
      <c r="AM90" s="1" t="str">
        <f>IF(AC81=HETTICH,BB88,IF(AC81=BLUM,BC88,""))</f>
        <v/>
      </c>
      <c r="AN90" s="1" t="str">
        <f t="shared" si="10"/>
        <v/>
      </c>
      <c r="AO90" s="1" t="str">
        <f t="shared" si="11"/>
        <v xml:space="preserve"> ()</v>
      </c>
      <c r="AP90" s="200">
        <v>0</v>
      </c>
      <c r="AQ90" s="196" t="str">
        <f t="shared" si="12"/>
        <v/>
      </c>
      <c r="AS90" s="204"/>
      <c r="AT90" s="198" t="str">
        <f t="shared" si="13"/>
        <v/>
      </c>
      <c r="BB90" s="48" t="e">
        <v>#REF!</v>
      </c>
      <c r="BC90" s="186" t="e">
        <v>#REF!</v>
      </c>
      <c r="BD90" s="48" t="e">
        <v>#REF!</v>
      </c>
      <c r="BE90" s="1" t="e">
        <f t="shared" si="9"/>
        <v>#REF!</v>
      </c>
      <c r="BF90" s="48" t="e">
        <v>#REF!</v>
      </c>
      <c r="BG90" s="48" t="e">
        <v>#REF!</v>
      </c>
    </row>
    <row r="91" spans="2:59" ht="4.5" customHeight="1">
      <c r="B91" s="80"/>
      <c r="D91" s="37"/>
      <c r="E91" s="44"/>
      <c r="F91" s="45"/>
      <c r="G91" s="45"/>
      <c r="H91" s="45"/>
      <c r="I91" s="45"/>
      <c r="J91" s="45"/>
      <c r="K91" s="45"/>
      <c r="L91" s="45"/>
      <c r="M91" s="45"/>
      <c r="N91" s="45"/>
      <c r="O91" s="45"/>
      <c r="P91" s="45"/>
      <c r="Q91" s="45"/>
      <c r="R91" s="45"/>
      <c r="S91" s="51"/>
      <c r="T91" s="51"/>
      <c r="U91" s="49"/>
      <c r="V91" s="46"/>
      <c r="W91" s="37"/>
      <c r="Y91" s="943"/>
      <c r="Z91" s="910"/>
      <c r="AA91" s="934"/>
      <c r="AB91" s="921" t="str">
        <f>Ceny_n!$B$185</f>
        <v>Dodat včetně uvedeného kování</v>
      </c>
      <c r="AC91" s="922"/>
      <c r="AD91" s="222"/>
      <c r="AE91" s="173"/>
      <c r="AG91" s="1">
        <v>5</v>
      </c>
      <c r="AH91" s="1">
        <f>IF(AC80=ZAVESY,AG91,0)</f>
        <v>0</v>
      </c>
      <c r="AI91" s="48" t="e">
        <f>IF(AI80=1,$B$503,IF(AI80=2,$B$511,0))</f>
        <v>#REF!</v>
      </c>
      <c r="AK91" s="1" t="str">
        <f t="shared" si="8"/>
        <v/>
      </c>
      <c r="AL91" s="1">
        <v>11</v>
      </c>
      <c r="AM91" s="1">
        <f>IF(AC81=HETTICH,BB89,IF(AC81=BLUM,BC89,))</f>
        <v>0</v>
      </c>
      <c r="AN91" s="1" t="str">
        <f t="shared" si="10"/>
        <v/>
      </c>
      <c r="AO91" s="1" t="str">
        <f t="shared" si="11"/>
        <v xml:space="preserve"> (0)</v>
      </c>
      <c r="AP91" s="200">
        <v>0</v>
      </c>
      <c r="AQ91" s="196" t="str">
        <f t="shared" si="12"/>
        <v/>
      </c>
      <c r="BB91" s="48" t="e">
        <v>#REF!</v>
      </c>
      <c r="BC91" s="186" t="e">
        <v>#REF!</v>
      </c>
      <c r="BD91" s="48" t="e">
        <v>#REF!</v>
      </c>
      <c r="BE91" s="1" t="e">
        <f t="shared" si="9"/>
        <v>#REF!</v>
      </c>
      <c r="BF91" s="48" t="e">
        <v>#REF!</v>
      </c>
      <c r="BG91" s="48" t="e">
        <v>#REF!</v>
      </c>
    </row>
    <row r="92" spans="2:59" ht="15.75" customHeight="1">
      <c r="B92" s="80"/>
      <c r="D92" s="37"/>
      <c r="E92" s="44"/>
      <c r="F92" s="45"/>
      <c r="G92" s="45"/>
      <c r="H92" s="45"/>
      <c r="I92" s="45"/>
      <c r="J92" s="45"/>
      <c r="K92" s="45"/>
      <c r="L92" s="45"/>
      <c r="M92" s="45"/>
      <c r="N92" s="45"/>
      <c r="O92" s="45"/>
      <c r="P92" s="45"/>
      <c r="Q92" s="45"/>
      <c r="R92" s="45"/>
      <c r="S92" s="45"/>
      <c r="T92" s="45"/>
      <c r="U92" s="45"/>
      <c r="V92" s="46"/>
      <c r="W92" s="37"/>
      <c r="Y92" s="943"/>
      <c r="Z92" s="910"/>
      <c r="AA92" s="935"/>
      <c r="AB92" s="923"/>
      <c r="AC92" s="924"/>
      <c r="AD92" s="222"/>
      <c r="AE92" s="173"/>
      <c r="AI92" s="48" t="e">
        <f>IF(AI80=1,$B$504,IF(AI80=2,$B$513,0))</f>
        <v>#REF!</v>
      </c>
      <c r="AL92" s="1">
        <v>12</v>
      </c>
      <c r="AM92" s="1" t="str">
        <f>IF(AC81=HETTICH,BB90,IF(AC81=BLUM,BC90,""))</f>
        <v/>
      </c>
      <c r="AN92" s="1" t="str">
        <f t="shared" si="10"/>
        <v/>
      </c>
      <c r="AO92" s="1" t="str">
        <f t="shared" si="11"/>
        <v xml:space="preserve"> ()</v>
      </c>
      <c r="AP92" s="200">
        <v>0</v>
      </c>
      <c r="AQ92" s="196" t="str">
        <f t="shared" si="12"/>
        <v/>
      </c>
      <c r="BB92" s="48" t="e">
        <v>#REF!</v>
      </c>
      <c r="BC92" s="186" t="e">
        <v>#REF!</v>
      </c>
      <c r="BD92" s="48" t="e">
        <v>#REF!</v>
      </c>
      <c r="BE92" s="1" t="e">
        <f t="shared" si="9"/>
        <v>#REF!</v>
      </c>
      <c r="BF92" s="48" t="e">
        <v>#REF!</v>
      </c>
      <c r="BG92" s="48" t="e">
        <v>#REF!</v>
      </c>
    </row>
    <row r="93" spans="2:59" ht="3" customHeight="1" thickBot="1">
      <c r="B93" s="80"/>
      <c r="D93" s="37"/>
      <c r="E93" s="44"/>
      <c r="F93" s="45"/>
      <c r="G93" s="45"/>
      <c r="H93" s="45"/>
      <c r="I93" s="45"/>
      <c r="J93" s="45"/>
      <c r="K93" s="45"/>
      <c r="L93" s="45"/>
      <c r="M93" s="45"/>
      <c r="N93" s="45"/>
      <c r="O93" s="45"/>
      <c r="P93" s="45"/>
      <c r="Q93" s="45"/>
      <c r="R93" s="45"/>
      <c r="S93" s="45"/>
      <c r="T93" s="45"/>
      <c r="U93" s="939"/>
      <c r="V93" s="46"/>
      <c r="W93" s="37"/>
      <c r="Y93" s="943"/>
      <c r="Z93" s="910"/>
      <c r="AA93" s="935"/>
      <c r="AB93" s="923"/>
      <c r="AC93" s="924"/>
      <c r="AD93" s="222"/>
      <c r="AE93" s="173"/>
      <c r="AI93" s="52" t="e">
        <f>IF(AI80=1,$B$506,0)</f>
        <v>#REF!</v>
      </c>
      <c r="AL93" s="1">
        <v>13</v>
      </c>
      <c r="AM93" s="180"/>
      <c r="AN93" s="1" t="str">
        <f t="shared" si="10"/>
        <v/>
      </c>
      <c r="AO93" s="1" t="str">
        <f t="shared" si="11"/>
        <v xml:space="preserve"> ()</v>
      </c>
      <c r="AP93" s="200">
        <v>0</v>
      </c>
      <c r="AQ93" s="196" t="str">
        <f t="shared" si="12"/>
        <v/>
      </c>
      <c r="BB93" s="48" t="e">
        <v>#REF!</v>
      </c>
      <c r="BC93" s="186" t="e">
        <v>#REF!</v>
      </c>
      <c r="BD93" s="48" t="e">
        <v>#REF!</v>
      </c>
      <c r="BE93" s="1" t="e">
        <f t="shared" si="9"/>
        <v>#REF!</v>
      </c>
      <c r="BF93" s="48" t="e">
        <v>#REF!</v>
      </c>
      <c r="BG93" s="48" t="e">
        <v>#REF!</v>
      </c>
    </row>
    <row r="94" spans="2:59" ht="12" customHeight="1">
      <c r="B94" s="80"/>
      <c r="D94" s="37"/>
      <c r="E94" s="44"/>
      <c r="F94" s="45"/>
      <c r="G94" s="45"/>
      <c r="H94" s="45"/>
      <c r="I94" s="45"/>
      <c r="J94" s="45"/>
      <c r="K94" s="45"/>
      <c r="L94" s="45"/>
      <c r="M94" s="45"/>
      <c r="N94" s="45"/>
      <c r="O94" s="45"/>
      <c r="P94" s="45"/>
      <c r="Q94" s="45"/>
      <c r="R94" s="45"/>
      <c r="S94" s="45"/>
      <c r="T94" s="45"/>
      <c r="U94" s="940"/>
      <c r="V94" s="46"/>
      <c r="W94" s="37"/>
      <c r="Y94" s="943"/>
      <c r="Z94" s="910"/>
      <c r="AA94" s="936"/>
      <c r="AB94" s="925"/>
      <c r="AC94" s="926"/>
      <c r="AD94" s="222"/>
      <c r="AE94" s="173"/>
      <c r="AI94" s="47" t="e">
        <f>IF(AI80=2,$B$520,0)</f>
        <v>#REF!</v>
      </c>
      <c r="AL94" s="1">
        <v>14</v>
      </c>
      <c r="AN94" s="1" t="str">
        <f t="shared" si="10"/>
        <v/>
      </c>
      <c r="AO94" s="1" t="str">
        <f t="shared" si="11"/>
        <v xml:space="preserve"> ()</v>
      </c>
      <c r="AP94" s="200">
        <v>0</v>
      </c>
      <c r="AQ94" s="196" t="str">
        <f t="shared" si="12"/>
        <v/>
      </c>
      <c r="BB94" s="48" t="e">
        <v>#REF!</v>
      </c>
      <c r="BC94" s="186" t="e">
        <v>#REF!</v>
      </c>
      <c r="BD94" s="48" t="e">
        <v>#REF!</v>
      </c>
      <c r="BE94" s="1" t="e">
        <f t="shared" si="9"/>
        <v>#REF!</v>
      </c>
      <c r="BF94" s="48" t="e">
        <v>#REF!</v>
      </c>
      <c r="BG94" s="48" t="e">
        <v>#REF!</v>
      </c>
    </row>
    <row r="95" spans="2:59" ht="27" thickBot="1">
      <c r="B95" s="80"/>
      <c r="D95" s="37"/>
      <c r="E95" s="44"/>
      <c r="F95" s="45"/>
      <c r="G95" s="45"/>
      <c r="H95" s="45"/>
      <c r="I95" s="45"/>
      <c r="J95" s="45"/>
      <c r="K95" s="45"/>
      <c r="L95" s="45"/>
      <c r="M95" s="45"/>
      <c r="N95" s="45"/>
      <c r="O95" s="45"/>
      <c r="P95" s="45"/>
      <c r="Q95" s="45"/>
      <c r="R95" s="32" t="s">
        <v>15</v>
      </c>
      <c r="S95" s="45"/>
      <c r="T95" s="45"/>
      <c r="U95" s="45"/>
      <c r="V95" s="46"/>
      <c r="W95" s="37"/>
      <c r="Y95" s="943"/>
      <c r="Z95" s="910"/>
      <c r="AC95" s="76"/>
      <c r="AI95" s="48" t="e">
        <f>IF(AI80=2,$B$521,0)</f>
        <v>#REF!</v>
      </c>
      <c r="AL95" s="1">
        <v>15</v>
      </c>
      <c r="AN95" s="1" t="str">
        <f t="shared" si="10"/>
        <v/>
      </c>
      <c r="AO95" s="1" t="str">
        <f t="shared" si="11"/>
        <v xml:space="preserve"> ()</v>
      </c>
      <c r="AP95" s="200">
        <v>0</v>
      </c>
      <c r="AQ95" s="196" t="str">
        <f t="shared" si="12"/>
        <v/>
      </c>
      <c r="BB95" s="48" t="e">
        <v>#REF!</v>
      </c>
      <c r="BC95" s="186" t="e">
        <v>#REF!</v>
      </c>
      <c r="BD95" s="48" t="e">
        <v>#REF!</v>
      </c>
      <c r="BE95" s="1" t="e">
        <f t="shared" si="9"/>
        <v>#REF!</v>
      </c>
      <c r="BF95" s="52" t="e">
        <v>#REF!</v>
      </c>
      <c r="BG95" s="52" t="e">
        <v>#REF!</v>
      </c>
    </row>
    <row r="96" spans="2:59" ht="5.25" customHeight="1" thickBot="1">
      <c r="B96" s="80"/>
      <c r="D96" s="37"/>
      <c r="E96" s="44"/>
      <c r="F96" s="45"/>
      <c r="G96" s="45"/>
      <c r="H96" s="45"/>
      <c r="I96" s="45"/>
      <c r="J96" s="45"/>
      <c r="K96" s="45"/>
      <c r="L96" s="45"/>
      <c r="M96" s="45"/>
      <c r="N96" s="45"/>
      <c r="O96" s="45"/>
      <c r="P96" s="45"/>
      <c r="Q96" s="45"/>
      <c r="R96" s="32"/>
      <c r="S96" s="45"/>
      <c r="T96" s="45"/>
      <c r="U96" s="45"/>
      <c r="V96" s="46"/>
      <c r="W96" s="37"/>
      <c r="Y96" s="943"/>
      <c r="Z96" s="910"/>
      <c r="AA96" s="85"/>
      <c r="AC96" s="76"/>
      <c r="AI96" s="48" t="e">
        <f>IF(AI80=2,$B$522,0)</f>
        <v>#REF!</v>
      </c>
      <c r="AL96" s="1">
        <v>16</v>
      </c>
      <c r="AO96" s="1" t="str">
        <f t="shared" si="11"/>
        <v xml:space="preserve"> ()</v>
      </c>
      <c r="AP96" s="200">
        <v>0</v>
      </c>
      <c r="AQ96" s="196" t="str">
        <f t="shared" si="12"/>
        <v/>
      </c>
      <c r="BB96" s="52" t="e">
        <v>#REF!</v>
      </c>
      <c r="BC96" s="187" t="e">
        <v>#REF!</v>
      </c>
      <c r="BD96" s="48" t="e">
        <v>#REF!</v>
      </c>
      <c r="BE96" s="1" t="e">
        <f t="shared" si="9"/>
        <v>#REF!</v>
      </c>
    </row>
    <row r="97" spans="2:57" ht="8.25" customHeight="1" thickBot="1">
      <c r="B97" s="80"/>
      <c r="D97" s="898">
        <f>IF(AG108=2,1,0)</f>
        <v>0</v>
      </c>
      <c r="E97" s="44"/>
      <c r="F97" s="45"/>
      <c r="G97" s="45"/>
      <c r="H97" s="45"/>
      <c r="I97" s="45"/>
      <c r="J97" s="45"/>
      <c r="K97" s="45"/>
      <c r="L97" s="45"/>
      <c r="M97" s="45"/>
      <c r="N97" s="45"/>
      <c r="O97" s="45"/>
      <c r="P97" s="45"/>
      <c r="Q97" s="45"/>
      <c r="R97" s="32"/>
      <c r="S97" s="45"/>
      <c r="T97" s="45"/>
      <c r="U97" s="45"/>
      <c r="V97" s="46"/>
      <c r="W97" s="898">
        <f>IF(AG108=1,1,0)</f>
        <v>0</v>
      </c>
      <c r="Y97" s="53"/>
      <c r="AC97" s="76"/>
      <c r="AI97" s="52" t="e">
        <f>IF(AI80=2,$B$523,0)</f>
        <v>#REF!</v>
      </c>
      <c r="AL97" s="1">
        <v>17</v>
      </c>
      <c r="AO97" s="1" t="str">
        <f t="shared" si="11"/>
        <v xml:space="preserve"> ()</v>
      </c>
      <c r="AP97" s="200">
        <v>0</v>
      </c>
      <c r="AQ97" s="196" t="str">
        <f t="shared" si="12"/>
        <v/>
      </c>
      <c r="BC97"/>
      <c r="BD97" s="48" t="e">
        <v>#REF!</v>
      </c>
      <c r="BE97" s="1" t="e">
        <f t="shared" si="9"/>
        <v>#REF!</v>
      </c>
    </row>
    <row r="98" spans="2:57" ht="18" customHeight="1">
      <c r="B98" s="80"/>
      <c r="D98" s="898" t="e">
        <f>IF(#REF!=$Y$41,1,0)</f>
        <v>#REF!</v>
      </c>
      <c r="E98" s="44"/>
      <c r="F98" s="45"/>
      <c r="G98" s="108"/>
      <c r="H98" s="45"/>
      <c r="I98" s="36"/>
      <c r="J98" s="36"/>
      <c r="K98" s="36"/>
      <c r="L98" s="899"/>
      <c r="M98" s="900"/>
      <c r="N98" s="901"/>
      <c r="O98" s="45"/>
      <c r="P98" s="45"/>
      <c r="Q98" s="45"/>
      <c r="R98" s="32"/>
      <c r="S98" s="986"/>
      <c r="T98" s="54"/>
      <c r="U98" s="45"/>
      <c r="V98" s="33"/>
      <c r="W98" s="898" t="e">
        <f>IF(#REF!=$Y$41,1,0)</f>
        <v>#REF!</v>
      </c>
      <c r="Y98" s="55"/>
      <c r="AA98" s="870" t="str">
        <f>IF(OR(Y82&gt;2500,L106&gt;2500),MAX_ROZ_RAM,"")</f>
        <v/>
      </c>
      <c r="AB98" s="870"/>
      <c r="AC98" s="871"/>
      <c r="AI98" s="47" t="e">
        <f>IF(AI80=1,$B$530,IF(AI80=2,$B$531,0))</f>
        <v>#REF!</v>
      </c>
      <c r="AL98" s="1">
        <v>18</v>
      </c>
      <c r="AO98" s="1" t="str">
        <f t="shared" si="11"/>
        <v xml:space="preserve"> ()</v>
      </c>
      <c r="AP98" s="200">
        <v>0</v>
      </c>
      <c r="AQ98" s="196" t="str">
        <f t="shared" si="12"/>
        <v/>
      </c>
      <c r="BC98"/>
      <c r="BD98" s="48" t="e">
        <v>#REF!</v>
      </c>
      <c r="BE98" s="1" t="e">
        <f t="shared" si="9"/>
        <v>#REF!</v>
      </c>
    </row>
    <row r="99" spans="2:57" ht="6" customHeight="1">
      <c r="B99" s="80"/>
      <c r="D99" s="902" t="str">
        <f>IF(D97=1,AC85,"")</f>
        <v/>
      </c>
      <c r="E99" s="44"/>
      <c r="F99" s="45"/>
      <c r="G99" s="56"/>
      <c r="H99" s="45"/>
      <c r="I99" s="36"/>
      <c r="J99" s="36"/>
      <c r="K99" s="36"/>
      <c r="L99" s="36"/>
      <c r="M99" s="56"/>
      <c r="N99" s="56"/>
      <c r="O99" s="45"/>
      <c r="P99" s="45"/>
      <c r="Q99" s="45"/>
      <c r="R99" s="32"/>
      <c r="S99" s="987"/>
      <c r="T99" s="54"/>
      <c r="U99" s="45"/>
      <c r="V99" s="33"/>
      <c r="W99" s="902" t="str">
        <f>IF(W97=1,AC85,"")</f>
        <v/>
      </c>
      <c r="Y99" s="55"/>
      <c r="AA99" s="870"/>
      <c r="AB99" s="870"/>
      <c r="AC99" s="871"/>
      <c r="AG99" s="1">
        <f>IF(AC90=$J$369,1,IF(AC90=$J$370,1,IF(AC90=$J$371,2,0)))</f>
        <v>0</v>
      </c>
      <c r="AI99" s="48" t="e">
        <f>IF(AI80=2,$B$532,0)</f>
        <v>#REF!</v>
      </c>
      <c r="AL99" s="1">
        <v>19</v>
      </c>
      <c r="AO99" s="1" t="str">
        <f t="shared" si="11"/>
        <v xml:space="preserve"> ()</v>
      </c>
      <c r="AP99" s="200">
        <v>0</v>
      </c>
      <c r="AQ99" s="196" t="str">
        <f t="shared" si="12"/>
        <v/>
      </c>
      <c r="BC99"/>
      <c r="BD99" s="48" t="e">
        <v>#REF!</v>
      </c>
      <c r="BE99" s="1" t="e">
        <f t="shared" si="9"/>
        <v>#REF!</v>
      </c>
    </row>
    <row r="100" spans="2:57" ht="22.5" customHeight="1">
      <c r="B100" s="80"/>
      <c r="D100" s="902"/>
      <c r="E100" s="44"/>
      <c r="F100" s="45"/>
      <c r="G100" s="45"/>
      <c r="H100" s="45"/>
      <c r="I100" s="32" t="s">
        <v>15</v>
      </c>
      <c r="J100" s="36"/>
      <c r="K100" s="36"/>
      <c r="L100" s="36"/>
      <c r="M100" s="36"/>
      <c r="N100" s="36"/>
      <c r="O100" s="45"/>
      <c r="P100" s="32" t="s">
        <v>15</v>
      </c>
      <c r="Q100" s="36"/>
      <c r="R100" s="32"/>
      <c r="S100" s="988"/>
      <c r="T100" s="54"/>
      <c r="U100" s="32"/>
      <c r="V100" s="46"/>
      <c r="W100" s="902"/>
      <c r="Y100" s="55"/>
      <c r="AA100" s="870"/>
      <c r="AB100" s="870"/>
      <c r="AC100" s="871"/>
      <c r="AG100" s="1">
        <f>IF(AC89=0,0,VPRAVO)</f>
        <v>0</v>
      </c>
      <c r="AI100" s="48" t="e">
        <f>IF(AI80=2,$B$533,0)</f>
        <v>#REF!</v>
      </c>
      <c r="AL100" s="1">
        <v>20</v>
      </c>
      <c r="AO100" s="1" t="str">
        <f t="shared" si="11"/>
        <v xml:space="preserve"> ()</v>
      </c>
      <c r="AP100" s="200">
        <v>0</v>
      </c>
      <c r="AQ100" s="196" t="str">
        <f t="shared" si="12"/>
        <v/>
      </c>
      <c r="BC100"/>
      <c r="BD100" s="48" t="e">
        <v>#REF!</v>
      </c>
      <c r="BE100" s="1" t="e">
        <f t="shared" si="9"/>
        <v>#REF!</v>
      </c>
    </row>
    <row r="101" spans="2:57" ht="27" thickBot="1">
      <c r="B101" s="80"/>
      <c r="D101" s="902"/>
      <c r="E101" s="44"/>
      <c r="F101" s="45"/>
      <c r="G101" s="45"/>
      <c r="H101" s="45"/>
      <c r="I101" s="36"/>
      <c r="J101" s="903"/>
      <c r="K101" s="36"/>
      <c r="L101" s="36"/>
      <c r="M101" s="36"/>
      <c r="N101" s="36"/>
      <c r="O101" s="45"/>
      <c r="P101" s="36"/>
      <c r="Q101" s="36"/>
      <c r="R101" s="45"/>
      <c r="S101" s="57"/>
      <c r="T101" s="57"/>
      <c r="U101" s="49"/>
      <c r="V101" s="46"/>
      <c r="W101" s="902"/>
      <c r="AA101" s="870" t="str">
        <f>IF(AC85=0,"",IF(AND(OR(AC77="Palio (elox.)",AC77="Siena (elox.)"),AC85&lt;80),MIN_POZ_ZAVES_80,IF(AC85&lt;70,MIN_POZ_ZAVES,"")))</f>
        <v/>
      </c>
      <c r="AB101" s="870"/>
      <c r="AC101" s="871"/>
      <c r="AG101" s="1">
        <f>IF(AC89=0,0,VLEVO)</f>
        <v>0</v>
      </c>
      <c r="AI101" s="52" t="e">
        <f>IF(AI80=2,$B$534,0)</f>
        <v>#REF!</v>
      </c>
      <c r="AL101" s="1">
        <v>21</v>
      </c>
      <c r="AO101" s="1" t="str">
        <f t="shared" si="11"/>
        <v xml:space="preserve"> ()</v>
      </c>
      <c r="AP101" s="200">
        <v>0</v>
      </c>
      <c r="AQ101" s="196" t="str">
        <f t="shared" si="12"/>
        <v/>
      </c>
      <c r="BC101"/>
      <c r="BD101" s="48" t="e">
        <v>#REF!</v>
      </c>
      <c r="BE101" s="1" t="e">
        <f t="shared" si="9"/>
        <v>#REF!</v>
      </c>
    </row>
    <row r="102" spans="2:57" ht="26.25">
      <c r="B102" s="80"/>
      <c r="D102" s="902"/>
      <c r="E102" s="44"/>
      <c r="F102" s="45"/>
      <c r="G102" s="45"/>
      <c r="H102" s="45"/>
      <c r="I102" s="36"/>
      <c r="J102" s="904"/>
      <c r="K102" s="36"/>
      <c r="L102" s="36"/>
      <c r="M102" s="36"/>
      <c r="N102" s="36"/>
      <c r="O102" s="45"/>
      <c r="P102" s="36"/>
      <c r="Q102" s="36"/>
      <c r="R102" s="45"/>
      <c r="S102" s="58"/>
      <c r="T102" s="58"/>
      <c r="U102" s="49"/>
      <c r="V102" s="46"/>
      <c r="W102" s="902"/>
      <c r="AC102" s="76"/>
      <c r="AG102" s="1">
        <f>IF(AC89=0,0,OBE_STRANY)</f>
        <v>0</v>
      </c>
      <c r="AJ102" s="1">
        <f>IF(AC89=0,0,VLOOKUP(AC89,AI103:AJ116,2,0))</f>
        <v>0</v>
      </c>
      <c r="AL102" s="1">
        <v>22</v>
      </c>
      <c r="AO102" s="1" t="str">
        <f t="shared" si="11"/>
        <v xml:space="preserve"> ()</v>
      </c>
      <c r="AP102" s="200">
        <v>0</v>
      </c>
      <c r="AQ102" s="196" t="str">
        <f t="shared" si="12"/>
        <v/>
      </c>
      <c r="BD102" s="48" t="e">
        <v>#REF!</v>
      </c>
      <c r="BE102" s="1" t="e">
        <f t="shared" si="9"/>
        <v>#REF!</v>
      </c>
    </row>
    <row r="103" spans="2:57" ht="15.75" customHeight="1" thickBot="1">
      <c r="B103" s="80"/>
      <c r="D103" s="902"/>
      <c r="E103" s="59"/>
      <c r="F103" s="60"/>
      <c r="G103" s="60"/>
      <c r="H103" s="60"/>
      <c r="I103" s="35"/>
      <c r="J103" s="35"/>
      <c r="K103" s="35"/>
      <c r="L103" s="35"/>
      <c r="M103" s="35"/>
      <c r="N103" s="35"/>
      <c r="O103" s="60"/>
      <c r="P103" s="35"/>
      <c r="Q103" s="35"/>
      <c r="R103" s="60"/>
      <c r="S103" s="60"/>
      <c r="T103" s="60"/>
      <c r="U103" s="60"/>
      <c r="V103" s="61"/>
      <c r="W103" s="902"/>
      <c r="AC103" s="76"/>
      <c r="AH103" s="1">
        <f>IF(AA89=Ceny_n!$B$184,IF(AI80=1,Ceny!$F$919,IF(AI80=2,Ceny!$G$919,0)),0)</f>
        <v>0</v>
      </c>
      <c r="AI103" s="1">
        <f>IF(AG108=3,AH103,AH122)</f>
        <v>0</v>
      </c>
      <c r="AJ103" s="1">
        <f>IF(AC80=ZAVESY,Ceny!$E$948,0)</f>
        <v>0</v>
      </c>
      <c r="AL103" s="1">
        <v>22</v>
      </c>
      <c r="AO103" s="1" t="str">
        <f t="shared" si="11"/>
        <v xml:space="preserve"> ()</v>
      </c>
      <c r="AP103" s="200">
        <v>0</v>
      </c>
      <c r="AQ103" s="196" t="str">
        <f t="shared" si="12"/>
        <v/>
      </c>
      <c r="AS103" s="1" t="e">
        <f>VLOOKUP(AL103,Ceny!$B$963:$E$970,4,0)</f>
        <v>#N/A</v>
      </c>
      <c r="AY103" s="1" t="e">
        <f t="shared" ref="AY103:AY117" si="14">AJ103+AS103+AT103+AU103+AW103</f>
        <v>#N/A</v>
      </c>
      <c r="BD103" s="48" t="e">
        <v>#REF!</v>
      </c>
      <c r="BE103" s="1" t="e">
        <f t="shared" si="9"/>
        <v>#REF!</v>
      </c>
    </row>
    <row r="104" spans="2:57" ht="19.5" thickBot="1">
      <c r="B104" s="80"/>
      <c r="D104" s="905" t="str">
        <f>IF(H104=1,AC85,"")</f>
        <v/>
      </c>
      <c r="E104" s="906"/>
      <c r="F104" s="906"/>
      <c r="G104" s="906"/>
      <c r="H104" s="39">
        <f>IF(AG108=4,1,0)</f>
        <v>0</v>
      </c>
      <c r="I104" s="39"/>
      <c r="J104" s="39"/>
      <c r="K104" s="39" t="b">
        <f>IF(AG108=4,IF(AC84=4,1,0))</f>
        <v>0</v>
      </c>
      <c r="L104" s="39"/>
      <c r="M104" s="39" t="b">
        <f>IF(AG108=4,IF(AC84=3,1,0))</f>
        <v>0</v>
      </c>
      <c r="N104" s="39"/>
      <c r="O104" s="39" t="b">
        <f>IF(AG108=4,IF(AC84=4,1,0))</f>
        <v>0</v>
      </c>
      <c r="P104" s="39"/>
      <c r="Q104" s="39"/>
      <c r="R104" s="39">
        <f>IF(AG108=4,1,0)</f>
        <v>0</v>
      </c>
      <c r="S104" s="929" t="str">
        <f>IF(R104=1,AC85,"")</f>
        <v/>
      </c>
      <c r="T104" s="929"/>
      <c r="U104" s="929"/>
      <c r="V104" s="929"/>
      <c r="W104" s="930"/>
      <c r="Y104" s="40"/>
      <c r="Z104" s="157" t="str">
        <f>IF(OR(AC77=Ceny_n!$B$18,AC77=Ceny_n!$B$19,AC77=Ceny_n!$B$20),Ceny!$B$498,"")</f>
        <v/>
      </c>
      <c r="AC104" s="76"/>
      <c r="AG104" s="1">
        <f>IF(AC80=ZAVESY,VPRAVO,0)</f>
        <v>0</v>
      </c>
      <c r="AH104" s="1">
        <f>IF(AA89=Ceny_n!$B$184,IF(AI80=1,Ceny!$F$920,IF(AI80=2,Ceny!$G$920,0)),0)</f>
        <v>0</v>
      </c>
      <c r="AI104" s="1">
        <f>IF(AG108=3,AH104,AH123)</f>
        <v>0</v>
      </c>
      <c r="AJ104" s="1">
        <f>IF(AC80=ZAVESY,Ceny!$E$949,0)</f>
        <v>0</v>
      </c>
      <c r="AL104" s="1">
        <v>22</v>
      </c>
      <c r="AO104" s="1" t="str">
        <f t="shared" si="11"/>
        <v xml:space="preserve"> ()</v>
      </c>
      <c r="AP104" s="200">
        <v>0</v>
      </c>
      <c r="AQ104" s="196" t="str">
        <f t="shared" si="12"/>
        <v/>
      </c>
      <c r="AS104" s="1" t="e">
        <f>VLOOKUP(AL104,Ceny!$B$963:$E$970,4,0)</f>
        <v>#N/A</v>
      </c>
      <c r="AY104" s="1" t="e">
        <f t="shared" si="14"/>
        <v>#N/A</v>
      </c>
      <c r="BD104" s="48" t="e">
        <v>#REF!</v>
      </c>
      <c r="BE104" s="1" t="e">
        <f t="shared" si="9"/>
        <v>#REF!</v>
      </c>
    </row>
    <row r="105" spans="2:57" ht="6" customHeight="1">
      <c r="B105" s="80"/>
      <c r="AC105" s="76"/>
      <c r="AG105" s="1">
        <f>IF(AC80=ZAVESY,VLEVO,0)</f>
        <v>0</v>
      </c>
      <c r="AH105" s="1">
        <f>IF(AA89=Ceny_n!$B$184,IF(AI80=1,Ceny!$F$921,IF(AI80=2,Ceny!$G$921,0)),0)</f>
        <v>0</v>
      </c>
      <c r="AI105" s="1">
        <f>IF(AG108=3,AH105,AH124)</f>
        <v>0</v>
      </c>
      <c r="AJ105" s="1">
        <f>IF(AC80=ZAVESY,Ceny!$E$950,0)</f>
        <v>0</v>
      </c>
      <c r="AL105" s="1">
        <v>22</v>
      </c>
      <c r="AO105" s="1" t="str">
        <f t="shared" si="11"/>
        <v xml:space="preserve"> ()</v>
      </c>
      <c r="AP105" s="200">
        <v>0</v>
      </c>
      <c r="AQ105" s="196" t="str">
        <f t="shared" si="12"/>
        <v/>
      </c>
      <c r="AS105" s="1" t="e">
        <f>VLOOKUP(AL105,Ceny!$B$963:$E$970,4,0)</f>
        <v>#N/A</v>
      </c>
      <c r="AY105" s="1" t="e">
        <f t="shared" si="14"/>
        <v>#N/A</v>
      </c>
      <c r="BD105" s="48" t="e">
        <v>#REF!</v>
      </c>
      <c r="BE105" s="1" t="e">
        <f t="shared" si="9"/>
        <v>#REF!</v>
      </c>
    </row>
    <row r="106" spans="2:57" ht="20.25" customHeight="1" thickBot="1">
      <c r="B106" s="80"/>
      <c r="D106" s="40"/>
      <c r="E106" s="40"/>
      <c r="F106" s="40"/>
      <c r="G106" s="40"/>
      <c r="I106" s="884" t="str">
        <f>Ceny_n!$B$135</f>
        <v xml:space="preserve">Šířka </v>
      </c>
      <c r="J106" s="885"/>
      <c r="K106" s="885"/>
      <c r="L106" s="886"/>
      <c r="M106" s="886"/>
      <c r="N106" s="886"/>
      <c r="O106" s="886"/>
      <c r="P106" s="886"/>
      <c r="Q106" s="887"/>
      <c r="R106" s="40"/>
      <c r="S106" s="40"/>
      <c r="T106" s="40"/>
      <c r="U106" s="40"/>
      <c r="V106" s="40"/>
      <c r="W106" s="40"/>
      <c r="Z106" s="157" t="str">
        <f>IF(L106&gt;1500,Ceny!$B$290,IF(Y82&gt;1500,Ceny!$B$290,""))</f>
        <v/>
      </c>
      <c r="AC106" s="76"/>
      <c r="AG106" s="1">
        <f>IF(AC80=ZAVESY,NAHORE,0)</f>
        <v>0</v>
      </c>
      <c r="AH106" s="1">
        <f>IF(AA89=Ceny_n!$B$184,IF(AI80=1,Ceny!$F$922,IF(AI80=2,Ceny!$G$922,0)),0)</f>
        <v>0</v>
      </c>
      <c r="AI106" s="1">
        <f>IF(AG108=3,AH106,AH125)</f>
        <v>0</v>
      </c>
      <c r="AJ106" s="1">
        <f>IF(AC80=ZAVESY,Ceny!$E$951,0)</f>
        <v>0</v>
      </c>
      <c r="AL106" s="1">
        <v>22</v>
      </c>
      <c r="AO106" s="1" t="str">
        <f t="shared" si="11"/>
        <v xml:space="preserve"> ()</v>
      </c>
      <c r="AP106" s="201">
        <v>0</v>
      </c>
      <c r="AQ106" s="198" t="str">
        <f t="shared" si="12"/>
        <v/>
      </c>
      <c r="AS106" s="1" t="e">
        <f>VLOOKUP(AL106,Ceny!$B$963:$E$970,4,0)</f>
        <v>#N/A</v>
      </c>
      <c r="AY106" s="1" t="e">
        <f t="shared" si="14"/>
        <v>#N/A</v>
      </c>
      <c r="BD106" s="48" t="e">
        <v>#REF!</v>
      </c>
      <c r="BE106" s="1" t="e">
        <f t="shared" si="9"/>
        <v>#REF!</v>
      </c>
    </row>
    <row r="107" spans="2:57" ht="17.25" customHeight="1">
      <c r="B107" s="80"/>
      <c r="D107" s="40"/>
      <c r="E107" s="40"/>
      <c r="F107" s="40"/>
      <c r="G107" s="40"/>
      <c r="H107" s="62"/>
      <c r="I107" s="62"/>
      <c r="J107" s="62"/>
      <c r="K107" s="63"/>
      <c r="L107" s="63"/>
      <c r="M107" s="64"/>
      <c r="N107" s="64"/>
      <c r="O107" s="64"/>
      <c r="P107" s="64"/>
      <c r="Q107" s="64"/>
      <c r="R107" s="40"/>
      <c r="S107" s="40"/>
      <c r="T107" s="40"/>
      <c r="U107" s="40"/>
      <c r="V107" s="40"/>
      <c r="W107" s="40"/>
      <c r="Z107" s="888" t="str">
        <f>Ceny_n!$B$138</f>
        <v>Cena rámečků celkem</v>
      </c>
      <c r="AA107" s="889"/>
      <c r="AB107" s="889"/>
      <c r="AC107" s="919">
        <f>IF(AC77=$B$347,0,(AI77+AM77+AN77+AS77)-((AI77+AM77+AN77+AS77)*$AC$14))</f>
        <v>0</v>
      </c>
      <c r="AD107" s="223"/>
      <c r="AE107" s="174"/>
      <c r="AG107" s="1">
        <f>IF(AC80=ZAVESY,DOLE,0)</f>
        <v>0</v>
      </c>
      <c r="AH107" s="1">
        <f>IF(AA89=Ceny_n!$B$184,IF(AI80=1,Ceny!$F$923,IF(AI80=2,Ceny!$G$923,0)),0)</f>
        <v>0</v>
      </c>
      <c r="AI107" s="1">
        <f>IF(AG108=3,AH107,AH126)</f>
        <v>0</v>
      </c>
      <c r="AJ107" s="1">
        <f>IF(AC80=ZAVESY,Ceny!$E$952,0)</f>
        <v>0</v>
      </c>
      <c r="AL107" s="1" t="e">
        <f>IF(AI80=1,Ceny!$B$964,0)</f>
        <v>#REF!</v>
      </c>
      <c r="AM107" s="1">
        <v>0</v>
      </c>
      <c r="AN107" s="1">
        <v>0</v>
      </c>
      <c r="AP107" s="1">
        <v>0</v>
      </c>
      <c r="AS107" s="1" t="e">
        <f>VLOOKUP(AL107,Ceny!$B$963:$E$970,4,0)</f>
        <v>#REF!</v>
      </c>
      <c r="AY107" s="1" t="e">
        <f t="shared" si="14"/>
        <v>#REF!</v>
      </c>
      <c r="BD107" s="48" t="e">
        <v>#REF!</v>
      </c>
      <c r="BE107" s="1" t="e">
        <f t="shared" si="9"/>
        <v>#REF!</v>
      </c>
    </row>
    <row r="108" spans="2:57" ht="17.25" customHeight="1">
      <c r="B108" s="80"/>
      <c r="D108" s="40"/>
      <c r="E108" s="40"/>
      <c r="F108" s="40"/>
      <c r="G108" s="40"/>
      <c r="H108" s="62"/>
      <c r="I108" s="62"/>
      <c r="J108" s="62"/>
      <c r="K108" s="63"/>
      <c r="L108" s="63"/>
      <c r="M108" s="64"/>
      <c r="N108" s="64"/>
      <c r="O108" s="64"/>
      <c r="P108" s="64"/>
      <c r="Q108" s="64"/>
      <c r="R108" s="40"/>
      <c r="S108" s="40"/>
      <c r="T108" s="40"/>
      <c r="U108" s="40"/>
      <c r="V108" s="40"/>
      <c r="W108" s="40"/>
      <c r="Z108" s="890"/>
      <c r="AA108" s="891"/>
      <c r="AB108" s="891"/>
      <c r="AC108" s="920"/>
      <c r="AD108" s="223"/>
      <c r="AE108" s="174"/>
      <c r="AG108" s="1">
        <f>IF(AC88=VPRAVO,1,IF('Běžné rámečky'!AC88=VLEVO,2,IF('Běžné rámečky'!AC88=NAHORE,3,IF('Běžné rámečky'!AC88=DOLE,4,0))))</f>
        <v>0</v>
      </c>
      <c r="AH108" s="1">
        <f>IF(AA89=Ceny_n!$B$184,IF(AI80=1,Ceny!$F$924,IF(AI80=2,Ceny!$G$924,0)),0)</f>
        <v>0</v>
      </c>
      <c r="AI108" s="1" t="str">
        <f>IF(AG108=3,AH108,AH127)</f>
        <v xml:space="preserve"> </v>
      </c>
      <c r="AJ108" s="1">
        <f>IF(AC80=ZAVESY,Ceny!$E$953,0)</f>
        <v>0</v>
      </c>
      <c r="AL108">
        <f>Ceny_n!$B$965</f>
        <v>15585</v>
      </c>
      <c r="AM108" s="1">
        <v>0</v>
      </c>
      <c r="AN108" s="1">
        <v>0</v>
      </c>
      <c r="AP108" s="1">
        <v>0</v>
      </c>
      <c r="AS108" s="1">
        <f>VLOOKUP(AL108,Ceny!$B$963:$E$970,4,0)</f>
        <v>3.1249699999999998</v>
      </c>
      <c r="AY108" s="1">
        <f t="shared" si="14"/>
        <v>3.1249699999999998</v>
      </c>
      <c r="BD108" s="48" t="e">
        <v>#REF!</v>
      </c>
      <c r="BE108" s="1" t="e">
        <f t="shared" si="9"/>
        <v>#REF!</v>
      </c>
    </row>
    <row r="109" spans="2:57" ht="13.5" customHeight="1">
      <c r="B109" s="80"/>
      <c r="D109" s="40"/>
      <c r="E109" s="40"/>
      <c r="F109" s="40"/>
      <c r="G109" s="40"/>
      <c r="H109" s="62"/>
      <c r="I109" s="62"/>
      <c r="J109" s="62"/>
      <c r="K109" s="63"/>
      <c r="L109" s="63"/>
      <c r="M109" s="64"/>
      <c r="N109" s="64"/>
      <c r="O109" s="64"/>
      <c r="P109" s="64"/>
      <c r="Q109" s="64"/>
      <c r="R109" s="40"/>
      <c r="S109" s="40"/>
      <c r="T109" s="40"/>
      <c r="U109" s="40"/>
      <c r="V109" s="40"/>
      <c r="W109" s="40"/>
      <c r="Z109" s="874" t="str">
        <f>Ceny_n!$B$140</f>
        <v>Cena za kompletní objednávku</v>
      </c>
      <c r="AA109" s="875"/>
      <c r="AB109" s="875"/>
      <c r="AC109" s="878">
        <f>SUM($AC$53,$AC$107,$AC$161,$AC$215,$AC$269,$AC$323)</f>
        <v>0</v>
      </c>
      <c r="AD109" s="223"/>
      <c r="AE109" s="174"/>
      <c r="AH109" s="1">
        <f>IF(AA89=Ceny_n!$B$184,IF(AI80=1,Ceny!$F$925,IF(AI80=2,Ceny!$G$925,0)),0)</f>
        <v>0</v>
      </c>
      <c r="AI109" s="1" t="str">
        <f>IF(AG108=3,AH109,AH127)</f>
        <v xml:space="preserve"> </v>
      </c>
      <c r="AJ109" s="1">
        <f>IF(AC80=ZAVESY,Ceny!$E$954,0)</f>
        <v>0</v>
      </c>
      <c r="AL109">
        <f>Ceny_n!$B$965</f>
        <v>15585</v>
      </c>
      <c r="AM109" s="1">
        <v>0</v>
      </c>
      <c r="AN109" s="1">
        <v>0</v>
      </c>
      <c r="AP109" s="1">
        <v>0</v>
      </c>
      <c r="AS109" s="1">
        <f>VLOOKUP(AL109,Ceny!$B$963:$E$970,4,0)</f>
        <v>3.1249699999999998</v>
      </c>
      <c r="AY109" s="1">
        <f t="shared" si="14"/>
        <v>3.1249699999999998</v>
      </c>
      <c r="BD109" s="48" t="e">
        <v>#REF!</v>
      </c>
      <c r="BE109" s="1" t="e">
        <f t="shared" si="9"/>
        <v>#REF!</v>
      </c>
    </row>
    <row r="110" spans="2:57" ht="17.25" customHeight="1">
      <c r="B110" s="80"/>
      <c r="D110" s="40"/>
      <c r="E110" s="40"/>
      <c r="F110" s="40"/>
      <c r="G110" s="40"/>
      <c r="H110" s="62"/>
      <c r="I110" s="62"/>
      <c r="J110" s="62"/>
      <c r="K110" s="63"/>
      <c r="L110" s="63"/>
      <c r="M110" s="64"/>
      <c r="N110" s="64"/>
      <c r="O110" s="64"/>
      <c r="P110" s="64"/>
      <c r="Q110" s="64"/>
      <c r="R110" s="40"/>
      <c r="S110" s="40"/>
      <c r="T110" s="40"/>
      <c r="U110" s="40"/>
      <c r="V110" s="40"/>
      <c r="W110" s="40"/>
      <c r="Z110" s="876"/>
      <c r="AA110" s="877"/>
      <c r="AB110" s="877"/>
      <c r="AC110" s="879"/>
      <c r="AD110" s="224"/>
      <c r="AE110" s="175"/>
      <c r="AH110" s="1">
        <f>IF(AA89=Ceny_n!$B$184,IF(AI80=1,Ceny!$F$926,IF(AI80=2,Ceny!$G$926,0)),0)</f>
        <v>0</v>
      </c>
      <c r="AI110" s="1" t="str">
        <f>IF(AG108=3,AH110,AH127)</f>
        <v xml:space="preserve"> </v>
      </c>
      <c r="AJ110" s="1">
        <f>IF(AC80=ZAVESY,Ceny!$E$955,0)</f>
        <v>0</v>
      </c>
      <c r="AL110">
        <f>Ceny_n!$B$965</f>
        <v>15585</v>
      </c>
      <c r="AM110" s="1">
        <v>0</v>
      </c>
      <c r="AN110" s="1">
        <v>0</v>
      </c>
      <c r="AP110" s="1">
        <v>0</v>
      </c>
      <c r="AS110" s="1">
        <f>VLOOKUP(AL110,Ceny!$B$963:$E$970,4,0)</f>
        <v>3.1249699999999998</v>
      </c>
      <c r="AY110" s="1">
        <f t="shared" si="14"/>
        <v>3.1249699999999998</v>
      </c>
      <c r="BD110" s="48" t="e">
        <v>#REF!</v>
      </c>
      <c r="BE110" s="1" t="e">
        <f t="shared" si="9"/>
        <v>#REF!</v>
      </c>
    </row>
    <row r="111" spans="2:57" ht="7.5" customHeight="1">
      <c r="B111" s="80"/>
      <c r="D111" s="40"/>
      <c r="E111" s="40"/>
      <c r="F111" s="40"/>
      <c r="G111" s="40"/>
      <c r="H111" s="62"/>
      <c r="I111" s="62"/>
      <c r="J111" s="62"/>
      <c r="K111" s="63"/>
      <c r="L111" s="63"/>
      <c r="M111" s="64"/>
      <c r="N111" s="64"/>
      <c r="O111" s="64"/>
      <c r="P111" s="64"/>
      <c r="Q111" s="64"/>
      <c r="R111" s="40"/>
      <c r="S111" s="40"/>
      <c r="T111" s="40"/>
      <c r="U111" s="40"/>
      <c r="V111" s="40"/>
      <c r="W111" s="40"/>
      <c r="Z111" s="880" t="str">
        <f>Ceny_n!$B$131</f>
        <v>Uvedené ceny jsou bez DPH a nezahrnují cenu požadovaného kování!</v>
      </c>
      <c r="AA111" s="880"/>
      <c r="AB111" s="880"/>
      <c r="AC111" s="881"/>
      <c r="AH111" s="1">
        <f>IF(AA89=Ceny_n!$B$184,IF(AI80=1,Ceny!$F$927,IF(AI80=2,Ceny!$G$927,0)),0)</f>
        <v>0</v>
      </c>
      <c r="AI111" s="1" t="str">
        <f>IF(AG108=3,AH111,AH127)</f>
        <v xml:space="preserve"> </v>
      </c>
      <c r="AJ111" s="1">
        <f>IF(AC80=ZAVESY,Ceny!$E$956,0)</f>
        <v>0</v>
      </c>
      <c r="AL111">
        <f>Ceny_n!$B$965</f>
        <v>15585</v>
      </c>
      <c r="AM111" s="1">
        <v>0</v>
      </c>
      <c r="AN111" s="1">
        <v>0</v>
      </c>
      <c r="AP111" s="1">
        <v>0</v>
      </c>
      <c r="AS111" s="1">
        <f>VLOOKUP(AL111,Ceny!$B$963:$E$970,4,0)</f>
        <v>3.1249699999999998</v>
      </c>
      <c r="AY111" s="1">
        <f t="shared" si="14"/>
        <v>3.1249699999999998</v>
      </c>
      <c r="BD111" s="48" t="e">
        <v>#REF!</v>
      </c>
      <c r="BE111" s="1" t="e">
        <f t="shared" si="9"/>
        <v>#REF!</v>
      </c>
    </row>
    <row r="112" spans="2:57" ht="7.5" customHeight="1">
      <c r="B112" s="81"/>
      <c r="C112" s="82"/>
      <c r="D112" s="82"/>
      <c r="E112" s="82"/>
      <c r="F112" s="82"/>
      <c r="G112" s="82"/>
      <c r="H112" s="82"/>
      <c r="I112" s="83"/>
      <c r="J112" s="83"/>
      <c r="K112" s="83"/>
      <c r="L112" s="83"/>
      <c r="M112" s="83"/>
      <c r="N112" s="83"/>
      <c r="O112" s="82"/>
      <c r="P112" s="82"/>
      <c r="Q112" s="82"/>
      <c r="R112" s="82"/>
      <c r="S112" s="82"/>
      <c r="T112" s="82"/>
      <c r="U112" s="82"/>
      <c r="V112" s="82"/>
      <c r="W112" s="82"/>
      <c r="X112" s="82"/>
      <c r="Y112" s="82"/>
      <c r="Z112" s="882"/>
      <c r="AA112" s="882"/>
      <c r="AB112" s="882"/>
      <c r="AC112" s="883"/>
      <c r="AH112" s="1">
        <f>IF(AA89=Ceny_n!$B$184,IF(AI80=1,Ceny!$F$928,IF(AI80=2,Ceny!$G$928,0)),0)</f>
        <v>0</v>
      </c>
      <c r="AI112" s="1" t="str">
        <f>IF(AG108=3,AH112,AH127)</f>
        <v xml:space="preserve"> </v>
      </c>
      <c r="AJ112" s="1">
        <f>IF(AC80=ZAVESY,Ceny!$E$957,0)</f>
        <v>0</v>
      </c>
      <c r="AL112">
        <f>Ceny_n!$B$965</f>
        <v>15585</v>
      </c>
      <c r="AM112" s="1">
        <v>0</v>
      </c>
      <c r="AN112" s="1">
        <v>0</v>
      </c>
      <c r="AP112" s="1">
        <v>0</v>
      </c>
      <c r="AS112" s="1">
        <f>VLOOKUP(AL112,Ceny!$B$963:$E$970,4,0)</f>
        <v>3.1249699999999998</v>
      </c>
      <c r="AY112" s="1">
        <f t="shared" si="14"/>
        <v>3.1249699999999998</v>
      </c>
      <c r="BD112" s="48" t="e">
        <v>#REF!</v>
      </c>
      <c r="BE112" s="1" t="e">
        <f t="shared" si="9"/>
        <v>#REF!</v>
      </c>
    </row>
    <row r="113" spans="2:57" ht="7.35" customHeight="1">
      <c r="B113" s="892" t="str">
        <f>Ceny_n!$B$137</f>
        <v>Poznámky</v>
      </c>
      <c r="C113" s="893"/>
      <c r="D113" s="893"/>
      <c r="E113" s="893"/>
      <c r="F113" s="893"/>
      <c r="G113" s="911"/>
      <c r="H113" s="911"/>
      <c r="I113" s="911"/>
      <c r="J113" s="911"/>
      <c r="K113" s="911"/>
      <c r="L113" s="911"/>
      <c r="M113" s="911"/>
      <c r="N113" s="911"/>
      <c r="O113" s="911"/>
      <c r="P113" s="911"/>
      <c r="Q113" s="911"/>
      <c r="R113" s="911"/>
      <c r="S113" s="911"/>
      <c r="T113" s="911"/>
      <c r="U113" s="911"/>
      <c r="V113" s="911"/>
      <c r="W113" s="911"/>
      <c r="X113" s="911"/>
      <c r="Y113" s="911"/>
      <c r="Z113" s="911"/>
      <c r="AA113" s="911"/>
      <c r="AB113" s="911"/>
      <c r="AC113" s="912"/>
      <c r="AD113" s="225"/>
      <c r="AE113" s="176"/>
      <c r="AH113" s="1">
        <f>IF(AA89=Ceny_n!$B$184,IF(AI80=1,Ceny!$F$929,IF(AI80=2,Ceny!$G$929,0)),0)</f>
        <v>0</v>
      </c>
      <c r="AI113" s="1" t="str">
        <f>IF(AG108=3,AH113,AH127)</f>
        <v xml:space="preserve"> </v>
      </c>
      <c r="AJ113" s="1">
        <f>IF(AC80=ZAVESY,Ceny!$E$958,0)</f>
        <v>0</v>
      </c>
      <c r="AL113" s="1">
        <f>Ceny_n!$B$968</f>
        <v>15596</v>
      </c>
      <c r="AM113" s="1">
        <f>Ceny_n!$B$967</f>
        <v>15595</v>
      </c>
      <c r="AN113" s="65" t="e">
        <f>IF(AI80=1,Ceny!$B$967,0)</f>
        <v>#REF!</v>
      </c>
      <c r="AO113" s="65"/>
      <c r="AP113" s="65" t="e">
        <f>IF(AI80=1,Ceny!$B$968,0)</f>
        <v>#REF!</v>
      </c>
      <c r="AQ113" s="65"/>
      <c r="AR113" s="65" t="e">
        <f>IF(AI80=1,Ceny!$B$969,0)</f>
        <v>#REF!</v>
      </c>
      <c r="AS113" s="1">
        <f>VLOOKUP(AL113,Ceny!$B$963:$E$970,4,0)</f>
        <v>11.9</v>
      </c>
      <c r="AT113" s="1">
        <f>VLOOKUP(AM113,Ceny!$B$963:$E$970,4,0)</f>
        <v>13.4</v>
      </c>
      <c r="AU113" s="1" t="e">
        <f>VLOOKUP(AN113,Ceny!$B$963:$E$970,4,0)</f>
        <v>#REF!</v>
      </c>
      <c r="AW113" s="1" t="e">
        <f>2*(VLOOKUP(AP113,Ceny!$B$963:$E$970,4,0))</f>
        <v>#REF!</v>
      </c>
      <c r="AX113" s="1" t="e">
        <f>2*(VLOOKUP(AR113,Ceny!$B$963:$E$970,4,0))</f>
        <v>#REF!</v>
      </c>
      <c r="AY113" s="1" t="e">
        <f t="shared" si="14"/>
        <v>#REF!</v>
      </c>
      <c r="BD113" s="48" t="e">
        <v>#REF!</v>
      </c>
      <c r="BE113" s="1" t="e">
        <f t="shared" si="9"/>
        <v>#REF!</v>
      </c>
    </row>
    <row r="114" spans="2:57" ht="7.35" customHeight="1">
      <c r="B114" s="894"/>
      <c r="C114" s="895"/>
      <c r="D114" s="895"/>
      <c r="E114" s="895"/>
      <c r="F114" s="895"/>
      <c r="G114" s="913"/>
      <c r="H114" s="913"/>
      <c r="I114" s="913"/>
      <c r="J114" s="913"/>
      <c r="K114" s="913"/>
      <c r="L114" s="913"/>
      <c r="M114" s="913"/>
      <c r="N114" s="913"/>
      <c r="O114" s="913"/>
      <c r="P114" s="913"/>
      <c r="Q114" s="913"/>
      <c r="R114" s="913"/>
      <c r="S114" s="913"/>
      <c r="T114" s="913"/>
      <c r="U114" s="913"/>
      <c r="V114" s="913"/>
      <c r="W114" s="913"/>
      <c r="X114" s="913"/>
      <c r="Y114" s="913"/>
      <c r="Z114" s="913"/>
      <c r="AA114" s="913"/>
      <c r="AB114" s="913"/>
      <c r="AC114" s="914"/>
      <c r="AD114" s="225"/>
      <c r="AE114" s="176"/>
      <c r="AH114" s="1">
        <f>IF(AA89=Ceny_n!$B$184,IF(AI80=1,Ceny!$F$930,IF(AI80=2,Ceny!$G$930,0)),0)</f>
        <v>0</v>
      </c>
      <c r="AI114" s="1" t="str">
        <f>IF(AG108=3,AH114,AH127)</f>
        <v xml:space="preserve"> </v>
      </c>
      <c r="AJ114" s="1">
        <f>IF(AC80=ZAVESY,Ceny!$E$959,0)</f>
        <v>0</v>
      </c>
      <c r="AL114" s="1">
        <f>Ceny_n!$B$968</f>
        <v>15596</v>
      </c>
      <c r="AM114" s="1">
        <f>Ceny_n!$B$967</f>
        <v>15595</v>
      </c>
      <c r="AN114" s="65" t="e">
        <f>IF(AI80=1,Ceny!$B$967,0)</f>
        <v>#REF!</v>
      </c>
      <c r="AO114" s="65"/>
      <c r="AP114" s="65" t="e">
        <f>IF(AI80=1,Ceny!$B$968,0)</f>
        <v>#REF!</v>
      </c>
      <c r="AQ114" s="65"/>
      <c r="AR114" s="65" t="e">
        <f>IF(AI80=1,Ceny!$B$969,0)</f>
        <v>#REF!</v>
      </c>
      <c r="AS114" s="1">
        <f>VLOOKUP(AL114,Ceny!$B$963:$E$970,4,0)</f>
        <v>11.9</v>
      </c>
      <c r="AT114" s="1">
        <f>VLOOKUP(AM114,Ceny!$B$963:$E$970,4,0)</f>
        <v>13.4</v>
      </c>
      <c r="AU114" s="1" t="e">
        <f>VLOOKUP(AN114,Ceny!$B$963:$E$970,4,0)</f>
        <v>#REF!</v>
      </c>
      <c r="AW114" s="1" t="e">
        <f>2*(VLOOKUP(AP114,Ceny!$B$963:$E$970,4,0))</f>
        <v>#REF!</v>
      </c>
      <c r="AX114" s="1" t="e">
        <f>2*(VLOOKUP(AR114,Ceny!$B$963:$E$970,4,0))</f>
        <v>#REF!</v>
      </c>
      <c r="AY114" s="1" t="e">
        <f t="shared" si="14"/>
        <v>#REF!</v>
      </c>
      <c r="BD114" s="48" t="e">
        <v>#REF!</v>
      </c>
      <c r="BE114" s="1" t="e">
        <f t="shared" si="9"/>
        <v>#REF!</v>
      </c>
    </row>
    <row r="115" spans="2:57" ht="7.35" customHeight="1">
      <c r="B115" s="894"/>
      <c r="C115" s="895"/>
      <c r="D115" s="895"/>
      <c r="E115" s="895"/>
      <c r="F115" s="895"/>
      <c r="G115" s="913"/>
      <c r="H115" s="913"/>
      <c r="I115" s="913"/>
      <c r="J115" s="913"/>
      <c r="K115" s="913"/>
      <c r="L115" s="913"/>
      <c r="M115" s="913"/>
      <c r="N115" s="913"/>
      <c r="O115" s="913"/>
      <c r="P115" s="913"/>
      <c r="Q115" s="913"/>
      <c r="R115" s="913"/>
      <c r="S115" s="913"/>
      <c r="T115" s="913"/>
      <c r="U115" s="913"/>
      <c r="V115" s="913"/>
      <c r="W115" s="913"/>
      <c r="X115" s="913"/>
      <c r="Y115" s="913"/>
      <c r="Z115" s="913"/>
      <c r="AA115" s="913"/>
      <c r="AB115" s="913"/>
      <c r="AC115" s="914"/>
      <c r="AD115" s="225"/>
      <c r="AE115" s="176"/>
      <c r="AH115" s="1">
        <f>IF(AA89=Ceny_n!$B$184,IF(AI80=1,Ceny!$F$931,IF(AI80=2,Ceny!$G$931,0)),0)</f>
        <v>0</v>
      </c>
      <c r="AI115" s="1" t="str">
        <f>IF(AG108=3,AH115,AH127)</f>
        <v xml:space="preserve"> </v>
      </c>
      <c r="AJ115" s="1">
        <f>IF(AC80=ZAVESY,Ceny!$E$960,0)</f>
        <v>0</v>
      </c>
      <c r="AL115" s="1">
        <f>Ceny_n!$B$968</f>
        <v>15596</v>
      </c>
      <c r="AM115" s="1">
        <f>Ceny_n!$B$967</f>
        <v>15595</v>
      </c>
      <c r="AN115" s="65" t="e">
        <f>IF(AI80=1,Ceny!$B$967,0)</f>
        <v>#REF!</v>
      </c>
      <c r="AO115" s="65"/>
      <c r="AP115" s="65" t="e">
        <f>IF(AI80=1,Ceny!$B$968,0)</f>
        <v>#REF!</v>
      </c>
      <c r="AQ115" s="65"/>
      <c r="AR115" s="65" t="e">
        <f>IF(AI80=1,Ceny!$B$969,0)</f>
        <v>#REF!</v>
      </c>
      <c r="AS115" s="1">
        <f>VLOOKUP(AL115,Ceny!$B$963:$E$970,4,0)</f>
        <v>11.9</v>
      </c>
      <c r="AT115" s="1">
        <f>VLOOKUP(AM115,Ceny!$B$963:$E$970,4,0)</f>
        <v>13.4</v>
      </c>
      <c r="AU115" s="1" t="e">
        <f>VLOOKUP(AN115,Ceny!$B$963:$E$970,4,0)</f>
        <v>#REF!</v>
      </c>
      <c r="AW115" s="1" t="e">
        <f>2*(VLOOKUP(AP115,Ceny!$B$963:$E$970,4,0))</f>
        <v>#REF!</v>
      </c>
      <c r="AX115" s="1" t="e">
        <f>2*(VLOOKUP(AR115,Ceny!$B$963:$E$970,4,0))</f>
        <v>#REF!</v>
      </c>
      <c r="AY115" s="1" t="e">
        <f t="shared" si="14"/>
        <v>#REF!</v>
      </c>
      <c r="BD115" s="48" t="e">
        <v>#REF!</v>
      </c>
      <c r="BE115" s="1" t="e">
        <f t="shared" si="9"/>
        <v>#REF!</v>
      </c>
    </row>
    <row r="116" spans="2:57" ht="7.35" customHeight="1">
      <c r="B116" s="894"/>
      <c r="C116" s="895"/>
      <c r="D116" s="895"/>
      <c r="E116" s="895"/>
      <c r="F116" s="895"/>
      <c r="G116" s="913"/>
      <c r="H116" s="913"/>
      <c r="I116" s="913"/>
      <c r="J116" s="913"/>
      <c r="K116" s="913"/>
      <c r="L116" s="913"/>
      <c r="M116" s="913"/>
      <c r="N116" s="913"/>
      <c r="O116" s="913"/>
      <c r="P116" s="913"/>
      <c r="Q116" s="913"/>
      <c r="R116" s="913"/>
      <c r="S116" s="913"/>
      <c r="T116" s="913"/>
      <c r="U116" s="913"/>
      <c r="V116" s="913"/>
      <c r="W116" s="913"/>
      <c r="X116" s="913"/>
      <c r="Y116" s="913"/>
      <c r="Z116" s="913"/>
      <c r="AA116" s="913"/>
      <c r="AB116" s="913"/>
      <c r="AC116" s="914"/>
      <c r="AD116" s="225"/>
      <c r="AE116" s="176"/>
      <c r="AH116" s="1">
        <f>IF(AA89=Ceny_n!$B$184,IF(AI80=1,Ceny!$F$932,IF(AI80=2,Ceny!$G$932,0)),0)</f>
        <v>0</v>
      </c>
      <c r="AI116" s="1" t="str">
        <f>IF(AG108=3,AH116,AH127)</f>
        <v xml:space="preserve"> </v>
      </c>
      <c r="AJ116" s="1">
        <f>IF(AC80=ZAVESY,Ceny!$E$961,0)</f>
        <v>0</v>
      </c>
      <c r="AL116" s="1">
        <f>Ceny_n!$B$968</f>
        <v>15596</v>
      </c>
      <c r="AM116" s="1">
        <f>Ceny_n!$B$967</f>
        <v>15595</v>
      </c>
      <c r="AN116" s="65" t="e">
        <f>IF(AI80=1,Ceny!$B$967,0)</f>
        <v>#REF!</v>
      </c>
      <c r="AO116" s="65"/>
      <c r="AP116" s="65" t="e">
        <f>IF(AI80=1,Ceny!$B$968,0)</f>
        <v>#REF!</v>
      </c>
      <c r="AQ116" s="65"/>
      <c r="AR116" s="65" t="e">
        <f>IF(AI80=1,Ceny!$B$969,0)</f>
        <v>#REF!</v>
      </c>
      <c r="AS116" s="1">
        <f>VLOOKUP(AL116,Ceny!$B$963:$E$970,4,0)</f>
        <v>11.9</v>
      </c>
      <c r="AT116" s="1">
        <f>VLOOKUP(AM116,Ceny!$B$963:$E$970,4,0)</f>
        <v>13.4</v>
      </c>
      <c r="AU116" s="1" t="e">
        <f>VLOOKUP(AN116,Ceny!$B$963:$E$970,4,0)</f>
        <v>#REF!</v>
      </c>
      <c r="AW116" s="1" t="e">
        <f>2*(VLOOKUP(AP116,Ceny!$B$963:$E$970,4,0))</f>
        <v>#REF!</v>
      </c>
      <c r="AX116" s="1" t="e">
        <f>2*(VLOOKUP(AR116,Ceny!$B$963:$E$970,4,0))</f>
        <v>#REF!</v>
      </c>
      <c r="AY116" s="1" t="e">
        <f t="shared" si="14"/>
        <v>#REF!</v>
      </c>
      <c r="BD116" s="48" t="e">
        <v>#REF!</v>
      </c>
      <c r="BE116" s="1" t="e">
        <f t="shared" si="9"/>
        <v>#REF!</v>
      </c>
    </row>
    <row r="117" spans="2:57" ht="7.35" customHeight="1">
      <c r="B117" s="894"/>
      <c r="C117" s="895"/>
      <c r="D117" s="895"/>
      <c r="E117" s="895"/>
      <c r="F117" s="895"/>
      <c r="G117" s="913"/>
      <c r="H117" s="913"/>
      <c r="I117" s="913"/>
      <c r="J117" s="913"/>
      <c r="K117" s="913"/>
      <c r="L117" s="913"/>
      <c r="M117" s="913"/>
      <c r="N117" s="913"/>
      <c r="O117" s="913"/>
      <c r="P117" s="913"/>
      <c r="Q117" s="913"/>
      <c r="R117" s="913"/>
      <c r="S117" s="913"/>
      <c r="T117" s="913"/>
      <c r="U117" s="913"/>
      <c r="V117" s="913"/>
      <c r="W117" s="913"/>
      <c r="X117" s="913"/>
      <c r="Y117" s="913"/>
      <c r="Z117" s="913"/>
      <c r="AA117" s="913"/>
      <c r="AB117" s="913"/>
      <c r="AC117" s="914"/>
      <c r="AD117" s="225"/>
      <c r="AE117" s="176"/>
      <c r="AH117" s="1">
        <f>IF(AA89=Ceny_n!$B$184,IF(AI80=1,Ceny!$F$933,IF(AI80=2,Ceny!$G$933,0)),0)</f>
        <v>0</v>
      </c>
      <c r="AI117" s="1" t="str">
        <f>IF(AG108=3,AH117,AH127)</f>
        <v xml:space="preserve"> </v>
      </c>
      <c r="AJ117" s="1">
        <f>IF(AC80=ZAVESY,Ceny!$E$962,0)</f>
        <v>0</v>
      </c>
      <c r="AY117" s="1">
        <f t="shared" si="14"/>
        <v>0</v>
      </c>
      <c r="BD117" s="48" t="e">
        <v>#REF!</v>
      </c>
      <c r="BE117" s="1" t="e">
        <f t="shared" si="9"/>
        <v>#REF!</v>
      </c>
    </row>
    <row r="118" spans="2:57" ht="6" customHeight="1">
      <c r="B118" s="894"/>
      <c r="C118" s="895"/>
      <c r="D118" s="895"/>
      <c r="E118" s="895"/>
      <c r="F118" s="895"/>
      <c r="G118" s="913"/>
      <c r="H118" s="913"/>
      <c r="I118" s="913"/>
      <c r="J118" s="913"/>
      <c r="K118" s="913"/>
      <c r="L118" s="913"/>
      <c r="M118" s="913"/>
      <c r="N118" s="913"/>
      <c r="O118" s="913"/>
      <c r="P118" s="913"/>
      <c r="Q118" s="913"/>
      <c r="R118" s="913"/>
      <c r="S118" s="913"/>
      <c r="T118" s="913"/>
      <c r="U118" s="913"/>
      <c r="V118" s="913"/>
      <c r="W118" s="913"/>
      <c r="X118" s="913"/>
      <c r="Y118" s="913"/>
      <c r="Z118" s="913"/>
      <c r="AA118" s="913"/>
      <c r="AB118" s="913"/>
      <c r="AC118" s="914"/>
      <c r="AD118" s="225"/>
      <c r="AE118" s="176"/>
      <c r="AH118" s="1">
        <f>IF(AA89=Ceny_n!$B$184,IF(AI80=1,Ceny!$F$934,IF(AI80=2,Ceny!$G$934,0)),0)</f>
        <v>0</v>
      </c>
      <c r="AI118" s="1" t="str">
        <f>IF(AG108=3,AH118,AH127)</f>
        <v xml:space="preserve"> </v>
      </c>
      <c r="BD118" s="48" t="e">
        <v>#REF!</v>
      </c>
      <c r="BE118" s="1" t="e">
        <f t="shared" si="9"/>
        <v>#REF!</v>
      </c>
    </row>
    <row r="119" spans="2:57" ht="7.35" customHeight="1" thickBot="1">
      <c r="B119" s="894"/>
      <c r="C119" s="895"/>
      <c r="D119" s="895"/>
      <c r="E119" s="895"/>
      <c r="F119" s="895"/>
      <c r="G119" s="913"/>
      <c r="H119" s="913"/>
      <c r="I119" s="913"/>
      <c r="J119" s="913"/>
      <c r="K119" s="913"/>
      <c r="L119" s="913"/>
      <c r="M119" s="913"/>
      <c r="N119" s="913"/>
      <c r="O119" s="913"/>
      <c r="P119" s="913"/>
      <c r="Q119" s="913"/>
      <c r="R119" s="913"/>
      <c r="S119" s="913"/>
      <c r="T119" s="913"/>
      <c r="U119" s="913"/>
      <c r="V119" s="913"/>
      <c r="W119" s="913"/>
      <c r="X119" s="913"/>
      <c r="Y119" s="913"/>
      <c r="Z119" s="913"/>
      <c r="AA119" s="913"/>
      <c r="AB119" s="913"/>
      <c r="AC119" s="914"/>
      <c r="AD119" s="225"/>
      <c r="AE119" s="176"/>
      <c r="AH119" s="1">
        <f>IF(AA89=Ceny_n!$B$184,IF(AI80=1,Ceny!$F$935,IF(AI80=2,Ceny!$G$935,0)),0)</f>
        <v>0</v>
      </c>
      <c r="AI119" s="1" t="str">
        <f>IF(AG108=3,AH119,AH127)</f>
        <v xml:space="preserve"> </v>
      </c>
      <c r="BD119" s="52" t="e">
        <v>#REF!</v>
      </c>
      <c r="BE119" s="1" t="e">
        <f t="shared" si="9"/>
        <v>#REF!</v>
      </c>
    </row>
    <row r="120" spans="2:57" ht="7.35" customHeight="1">
      <c r="B120" s="894"/>
      <c r="C120" s="895"/>
      <c r="D120" s="895"/>
      <c r="E120" s="895"/>
      <c r="F120" s="895"/>
      <c r="G120" s="913"/>
      <c r="H120" s="913"/>
      <c r="I120" s="913"/>
      <c r="J120" s="913"/>
      <c r="K120" s="913"/>
      <c r="L120" s="913"/>
      <c r="M120" s="913"/>
      <c r="N120" s="913"/>
      <c r="O120" s="913"/>
      <c r="P120" s="913"/>
      <c r="Q120" s="913"/>
      <c r="R120" s="913"/>
      <c r="S120" s="913"/>
      <c r="T120" s="913"/>
      <c r="U120" s="913"/>
      <c r="V120" s="913"/>
      <c r="W120" s="913"/>
      <c r="X120" s="913"/>
      <c r="Y120" s="913"/>
      <c r="Z120" s="913"/>
      <c r="AA120" s="913"/>
      <c r="AB120" s="913"/>
      <c r="AC120" s="914"/>
      <c r="AD120" s="225"/>
      <c r="AE120" s="176"/>
      <c r="AH120" s="1">
        <f>IF(AA89=Ceny_n!$B$184,IF(AI80=1,Ceny!$F$936,IF(AI80=2,Ceny!$G$936,0)),0)</f>
        <v>0</v>
      </c>
      <c r="AI120" s="1" t="str">
        <f>IF(AG108=3,AH120,AH127)</f>
        <v xml:space="preserve"> </v>
      </c>
    </row>
    <row r="121" spans="2:57" ht="7.35" customHeight="1">
      <c r="B121" s="894"/>
      <c r="C121" s="895"/>
      <c r="D121" s="895"/>
      <c r="E121" s="895"/>
      <c r="F121" s="895"/>
      <c r="G121" s="913"/>
      <c r="H121" s="913"/>
      <c r="I121" s="913"/>
      <c r="J121" s="913"/>
      <c r="K121" s="913"/>
      <c r="L121" s="913"/>
      <c r="M121" s="913"/>
      <c r="N121" s="913"/>
      <c r="O121" s="913"/>
      <c r="P121" s="913"/>
      <c r="Q121" s="913"/>
      <c r="R121" s="913"/>
      <c r="S121" s="913"/>
      <c r="T121" s="913"/>
      <c r="U121" s="913"/>
      <c r="V121" s="913"/>
      <c r="W121" s="913"/>
      <c r="X121" s="913"/>
      <c r="Y121" s="913"/>
      <c r="Z121" s="913"/>
      <c r="AA121" s="913"/>
      <c r="AB121" s="913"/>
      <c r="AC121" s="914"/>
      <c r="AD121" s="225"/>
      <c r="AE121" s="176"/>
      <c r="AH121" s="1">
        <f>IF(AA89=Ceny_n!$B$184,IF(AI80=1,Ceny!$F$937,IF(AI80=2,Ceny!$G$937,0)),0)</f>
        <v>0</v>
      </c>
      <c r="AI121" s="1" t="str">
        <f>IF(AG108=3,AH121,AH127)</f>
        <v xml:space="preserve"> </v>
      </c>
    </row>
    <row r="122" spans="2:57" ht="20.25" customHeight="1">
      <c r="B122" s="894"/>
      <c r="C122" s="895"/>
      <c r="D122" s="895"/>
      <c r="E122" s="895"/>
      <c r="F122" s="895"/>
      <c r="G122" s="913"/>
      <c r="H122" s="913"/>
      <c r="I122" s="913"/>
      <c r="J122" s="913"/>
      <c r="K122" s="913"/>
      <c r="L122" s="913"/>
      <c r="M122" s="913"/>
      <c r="N122" s="913"/>
      <c r="O122" s="913"/>
      <c r="P122" s="913"/>
      <c r="Q122" s="913"/>
      <c r="R122" s="913"/>
      <c r="S122" s="913"/>
      <c r="T122" s="913"/>
      <c r="U122" s="913"/>
      <c r="V122" s="913"/>
      <c r="W122" s="913"/>
      <c r="X122" s="913"/>
      <c r="Y122" s="913"/>
      <c r="Z122" s="913"/>
      <c r="AA122" s="913"/>
      <c r="AB122" s="913"/>
      <c r="AC122" s="914"/>
      <c r="AD122" s="225"/>
      <c r="AE122" s="176"/>
      <c r="AH122" s="1">
        <f>IF(AA89=Ceny_n!$B$184,IF(AI80=1,Ceny!$F$938,IF(AI80=2,Ceny!$G$938,0)),0)</f>
        <v>0</v>
      </c>
      <c r="AI122" s="1" t="str">
        <f>IF(AG108=3,AH122,AH127)</f>
        <v xml:space="preserve"> </v>
      </c>
    </row>
    <row r="123" spans="2:57" ht="7.35" customHeight="1">
      <c r="B123" s="894"/>
      <c r="C123" s="895"/>
      <c r="D123" s="895"/>
      <c r="E123" s="895"/>
      <c r="F123" s="895"/>
      <c r="G123" s="913"/>
      <c r="H123" s="913"/>
      <c r="I123" s="913"/>
      <c r="J123" s="913"/>
      <c r="K123" s="913"/>
      <c r="L123" s="913"/>
      <c r="M123" s="913"/>
      <c r="N123" s="913"/>
      <c r="O123" s="913"/>
      <c r="P123" s="913"/>
      <c r="Q123" s="913"/>
      <c r="R123" s="913"/>
      <c r="S123" s="913"/>
      <c r="T123" s="913"/>
      <c r="U123" s="913"/>
      <c r="V123" s="913"/>
      <c r="W123" s="913"/>
      <c r="X123" s="913"/>
      <c r="Y123" s="913"/>
      <c r="Z123" s="913"/>
      <c r="AA123" s="913"/>
      <c r="AB123" s="913"/>
      <c r="AC123" s="914"/>
      <c r="AD123" s="225"/>
      <c r="AE123" s="176"/>
      <c r="AH123" s="1">
        <f>IF(AA89=Ceny_n!$B$184,IF(AI80=1,Ceny!$F$939,IF(AI80=2,Ceny!$G$939,0)),0)</f>
        <v>0</v>
      </c>
    </row>
    <row r="124" spans="2:57" ht="7.35" customHeight="1">
      <c r="B124" s="894"/>
      <c r="C124" s="895"/>
      <c r="D124" s="895"/>
      <c r="E124" s="895"/>
      <c r="F124" s="895"/>
      <c r="G124" s="913"/>
      <c r="H124" s="913"/>
      <c r="I124" s="913"/>
      <c r="J124" s="913"/>
      <c r="K124" s="913"/>
      <c r="L124" s="913"/>
      <c r="M124" s="913"/>
      <c r="N124" s="913"/>
      <c r="O124" s="913"/>
      <c r="P124" s="913"/>
      <c r="Q124" s="913"/>
      <c r="R124" s="913"/>
      <c r="S124" s="913"/>
      <c r="T124" s="913"/>
      <c r="U124" s="913"/>
      <c r="V124" s="913"/>
      <c r="W124" s="913"/>
      <c r="X124" s="913"/>
      <c r="Y124" s="913"/>
      <c r="Z124" s="913"/>
      <c r="AA124" s="913"/>
      <c r="AB124" s="913"/>
      <c r="AC124" s="914"/>
      <c r="AD124" s="225"/>
      <c r="AE124" s="176"/>
      <c r="AH124" s="1">
        <f>IF(AA89=Ceny_n!$B$184,IF(AI80=1,Ceny!$F$940,IF(AI80=2,Ceny!$G$940,0)),0)</f>
        <v>0</v>
      </c>
    </row>
    <row r="125" spans="2:57" ht="7.35" customHeight="1">
      <c r="B125" s="894"/>
      <c r="C125" s="895"/>
      <c r="D125" s="895"/>
      <c r="E125" s="895"/>
      <c r="F125" s="895"/>
      <c r="G125" s="913"/>
      <c r="H125" s="913"/>
      <c r="I125" s="913"/>
      <c r="J125" s="913"/>
      <c r="K125" s="913"/>
      <c r="L125" s="913"/>
      <c r="M125" s="913"/>
      <c r="N125" s="913"/>
      <c r="O125" s="913"/>
      <c r="P125" s="913"/>
      <c r="Q125" s="913"/>
      <c r="R125" s="913"/>
      <c r="S125" s="913"/>
      <c r="T125" s="913"/>
      <c r="U125" s="913"/>
      <c r="V125" s="913"/>
      <c r="W125" s="913"/>
      <c r="X125" s="913"/>
      <c r="Y125" s="913"/>
      <c r="Z125" s="913"/>
      <c r="AA125" s="913"/>
      <c r="AB125" s="913"/>
      <c r="AC125" s="914"/>
      <c r="AD125" s="225"/>
      <c r="AE125" s="176"/>
      <c r="AH125" s="1">
        <f>IF(AA89=Ceny_n!$B$184,IF(AI80=1,Ceny!$F$941,IF(AI80=2,Ceny!$G$941,0)),0)</f>
        <v>0</v>
      </c>
    </row>
    <row r="126" spans="2:57" ht="7.35" customHeight="1">
      <c r="B126" s="896"/>
      <c r="C126" s="897"/>
      <c r="D126" s="897"/>
      <c r="E126" s="897"/>
      <c r="F126" s="897"/>
      <c r="G126" s="915"/>
      <c r="H126" s="915"/>
      <c r="I126" s="915"/>
      <c r="J126" s="915"/>
      <c r="K126" s="915"/>
      <c r="L126" s="915"/>
      <c r="M126" s="915"/>
      <c r="N126" s="915"/>
      <c r="O126" s="915"/>
      <c r="P126" s="915"/>
      <c r="Q126" s="915"/>
      <c r="R126" s="915"/>
      <c r="S126" s="915"/>
      <c r="T126" s="915"/>
      <c r="U126" s="915"/>
      <c r="V126" s="915"/>
      <c r="W126" s="915"/>
      <c r="X126" s="915"/>
      <c r="Y126" s="915"/>
      <c r="Z126" s="915"/>
      <c r="AA126" s="915"/>
      <c r="AB126" s="915"/>
      <c r="AC126" s="916"/>
      <c r="AD126" s="225"/>
      <c r="AE126" s="176"/>
      <c r="AH126" s="1">
        <f>IF(AA89=Ceny_n!$B$184,IF(AI80=1,Ceny!$F$942,IF(AI80=2,Ceny!$G$942,0)),0)</f>
        <v>0</v>
      </c>
    </row>
    <row r="127" spans="2:57" ht="7.5" customHeight="1">
      <c r="B127" s="92"/>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4"/>
      <c r="AD127" s="226"/>
      <c r="AE127" s="177"/>
      <c r="AH127" s="1" t="s">
        <v>677</v>
      </c>
    </row>
    <row r="128" spans="2:57" ht="26.25">
      <c r="B128" s="120" t="s">
        <v>2</v>
      </c>
      <c r="C128" s="872" t="str">
        <f>Ceny_n!$B$129</f>
        <v>Rámeček</v>
      </c>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c r="AA128" s="872"/>
      <c r="AB128" s="872"/>
      <c r="AC128" s="873"/>
      <c r="AD128" s="218"/>
      <c r="AE128" s="166"/>
    </row>
    <row r="129" spans="2:59" ht="15.75" thickBot="1">
      <c r="B129" s="79"/>
      <c r="AC129" s="76"/>
      <c r="AD129" s="227" t="s">
        <v>1192</v>
      </c>
      <c r="AJ129" s="938" t="s">
        <v>1508</v>
      </c>
      <c r="AK129" s="938"/>
    </row>
    <row r="130" spans="2:59" ht="15.75" thickBot="1">
      <c r="B130" s="80"/>
      <c r="D130" s="917" t="str">
        <f>IF(H130=1,AC139,"")</f>
        <v/>
      </c>
      <c r="E130" s="918"/>
      <c r="F130" s="918"/>
      <c r="G130" s="918"/>
      <c r="H130" s="38">
        <f>IF(AG162=3,1,0)</f>
        <v>0</v>
      </c>
      <c r="I130" s="38"/>
      <c r="J130" s="38"/>
      <c r="K130" s="38" t="b">
        <f>IF(AG162=3,IF(AC138=4,1,0))</f>
        <v>0</v>
      </c>
      <c r="L130" s="38"/>
      <c r="M130" s="38" t="b">
        <f>IF(AG162=3,IF(AC138=3,1,0))</f>
        <v>0</v>
      </c>
      <c r="N130" s="38"/>
      <c r="O130" s="38" t="b">
        <f>IF(AG162=3,IF(AC138=4,1,0))</f>
        <v>0</v>
      </c>
      <c r="P130" s="38"/>
      <c r="Q130" s="38"/>
      <c r="R130" s="38">
        <f>IF(AG162=3,1,0)</f>
        <v>0</v>
      </c>
      <c r="S130" s="959" t="str">
        <f>IF(R130=1,AC139,"")</f>
        <v/>
      </c>
      <c r="T130" s="959"/>
      <c r="U130" s="959"/>
      <c r="V130" s="959"/>
      <c r="W130" s="960"/>
      <c r="Y130" s="40"/>
      <c r="AA130" s="799"/>
      <c r="AB130" s="799"/>
      <c r="AC130" s="76"/>
      <c r="AG130" s="1" t="s">
        <v>87</v>
      </c>
      <c r="AH130" s="1" t="s">
        <v>88</v>
      </c>
      <c r="AI130" s="1" t="s">
        <v>89</v>
      </c>
      <c r="AJ130" s="1" t="s">
        <v>6</v>
      </c>
      <c r="AL130" s="1" t="s">
        <v>99</v>
      </c>
      <c r="AM130" s="1" t="s">
        <v>90</v>
      </c>
      <c r="AN130" s="1" t="s">
        <v>109</v>
      </c>
      <c r="AP130" s="1" t="s">
        <v>91</v>
      </c>
      <c r="AR130" s="1" t="s">
        <v>93</v>
      </c>
      <c r="AS130" s="1" t="s">
        <v>92</v>
      </c>
      <c r="BB130" s="1">
        <v>0</v>
      </c>
      <c r="BD130" s="1" t="e">
        <f>IF(ISNA(VLOOKUP(AC136,#REF!,14,FALSE)),2,IF(VLOOKUP(AC136,#REF!,14,FALSE)="N",1,2))</f>
        <v>#REF!</v>
      </c>
    </row>
    <row r="131" spans="2:59" ht="18" customHeight="1">
      <c r="B131" s="80"/>
      <c r="D131" s="902" t="str">
        <f>IF(D135=1,AC139,"")</f>
        <v/>
      </c>
      <c r="E131" s="41"/>
      <c r="F131" s="42"/>
      <c r="G131" s="42"/>
      <c r="H131" s="42"/>
      <c r="I131" s="42"/>
      <c r="J131" s="42"/>
      <c r="K131" s="42"/>
      <c r="L131" s="42"/>
      <c r="M131" s="42"/>
      <c r="N131" s="42"/>
      <c r="O131" s="42"/>
      <c r="P131" s="42"/>
      <c r="Q131" s="42"/>
      <c r="R131" s="42"/>
      <c r="S131" s="42"/>
      <c r="T131" s="42"/>
      <c r="U131" s="42"/>
      <c r="V131" s="43"/>
      <c r="W131" s="902" t="str">
        <f>IF(W135=1,AC139,"")</f>
        <v/>
      </c>
      <c r="AA131" s="927" t="str">
        <f>Ceny_n!$B$132</f>
        <v>Typ profilu</v>
      </c>
      <c r="AB131" s="928"/>
      <c r="AC131" s="206" t="s">
        <v>258</v>
      </c>
      <c r="AD131" s="167" t="s">
        <v>1646</v>
      </c>
      <c r="AE131" s="167"/>
      <c r="AF131" s="87">
        <f>IF(AC135=AV_HL_SD,TYP_RAM,AG136)</f>
        <v>0</v>
      </c>
      <c r="AG131" s="1" t="e">
        <f>VLOOKUP(AC131,$B$348:$D$391,2,0)</f>
        <v>#N/A</v>
      </c>
      <c r="AH131" s="1" t="e">
        <f>AG131*(((L160/1000)+(Y136/1000))*2)</f>
        <v>#N/A</v>
      </c>
      <c r="AI131" s="1" t="e">
        <f>AH131*AC133</f>
        <v>#N/A</v>
      </c>
      <c r="AJ131" s="1" t="e">
        <f>VLOOKUP(AC131,$B$348:$D$391,3,0)</f>
        <v>#N/A</v>
      </c>
      <c r="AL131" s="1" t="e">
        <f>VLOOKUP(AC131,$B$348:$I$392,AH135,0)</f>
        <v>#N/A</v>
      </c>
      <c r="AM131" s="1" t="e">
        <f>AJ131*AC133</f>
        <v>#N/A</v>
      </c>
      <c r="AN131" s="1" t="e">
        <f>AL131*AC133</f>
        <v>#N/A</v>
      </c>
      <c r="AP131" s="1">
        <f>VLOOKUP(AC132,$B$403:$C$477,2,0)</f>
        <v>0</v>
      </c>
      <c r="AR131" s="1">
        <f>(L160/1000)*(Y136/1000)*AP131</f>
        <v>0</v>
      </c>
      <c r="AS131" s="1">
        <f>AR131*AC133</f>
        <v>0</v>
      </c>
      <c r="BB131" s="937" t="s">
        <v>1171</v>
      </c>
      <c r="BC131" s="937"/>
      <c r="BD131" s="937"/>
      <c r="BE131" s="937"/>
      <c r="BF131" s="937"/>
      <c r="BG131" s="937"/>
    </row>
    <row r="132" spans="2:59" ht="18" customHeight="1" thickBot="1">
      <c r="B132" s="80"/>
      <c r="D132" s="902"/>
      <c r="E132" s="44"/>
      <c r="F132" s="45"/>
      <c r="G132" s="45"/>
      <c r="H132" s="45"/>
      <c r="I132" s="45"/>
      <c r="J132" s="45"/>
      <c r="K132" s="45"/>
      <c r="L132" s="45"/>
      <c r="M132" s="45"/>
      <c r="N132" s="45"/>
      <c r="O132" s="45"/>
      <c r="P132" s="45"/>
      <c r="Q132" s="45"/>
      <c r="R132" s="45"/>
      <c r="S132" s="45"/>
      <c r="T132" s="45"/>
      <c r="U132" s="45"/>
      <c r="V132" s="46"/>
      <c r="W132" s="902"/>
      <c r="AA132" s="907" t="str">
        <f>Ceny_n!$B$133</f>
        <v>Typ skla</v>
      </c>
      <c r="AB132" s="908"/>
      <c r="AC132" s="207"/>
      <c r="AD132" s="167" t="s">
        <v>1506</v>
      </c>
      <c r="AE132" s="168"/>
      <c r="AF132" s="1" t="str">
        <f>Ceny_n!$B$199</f>
        <v>Vyberte ze seznamu</v>
      </c>
      <c r="AG132" s="1" t="s">
        <v>220</v>
      </c>
      <c r="AH132" s="1" t="s">
        <v>226</v>
      </c>
      <c r="AI132" s="1" t="s">
        <v>227</v>
      </c>
      <c r="AJ132" s="1" t="s">
        <v>371</v>
      </c>
      <c r="AL132" s="1" t="s">
        <v>29</v>
      </c>
      <c r="BB132" s="178" t="s">
        <v>1051</v>
      </c>
      <c r="BC132" s="179" t="s">
        <v>1057</v>
      </c>
      <c r="BD132" s="182" t="s">
        <v>1078</v>
      </c>
      <c r="BE132" s="182"/>
      <c r="BF132" s="1" t="s">
        <v>1166</v>
      </c>
      <c r="BG132" s="1" t="s">
        <v>1167</v>
      </c>
    </row>
    <row r="133" spans="2:59" ht="18" customHeight="1" thickBot="1">
      <c r="B133" s="80"/>
      <c r="D133" s="902"/>
      <c r="E133" s="44"/>
      <c r="F133" s="45"/>
      <c r="G133" s="45"/>
      <c r="H133" s="45"/>
      <c r="I133" s="45"/>
      <c r="J133" s="45"/>
      <c r="K133" s="45"/>
      <c r="L133" s="45"/>
      <c r="M133" s="45"/>
      <c r="N133" s="45"/>
      <c r="O133" s="45"/>
      <c r="P133" s="45"/>
      <c r="Q133" s="45"/>
      <c r="R133" s="45"/>
      <c r="S133" s="45"/>
      <c r="T133" s="45"/>
      <c r="U133" s="45"/>
      <c r="V133" s="46"/>
      <c r="W133" s="902"/>
      <c r="AA133" s="907" t="str">
        <f>Ceny_n!$B$134</f>
        <v>Počet kusů</v>
      </c>
      <c r="AB133" s="908"/>
      <c r="AC133" s="207"/>
      <c r="AD133" s="167" t="s">
        <v>1195</v>
      </c>
      <c r="AE133" s="168"/>
      <c r="AF133" s="1" t="str">
        <f>IF(AC131=AF132,"",Ceny!$B$141)</f>
        <v/>
      </c>
      <c r="AG133" s="1" t="e">
        <f>VLOOKUP(AR134,Ceny!$B$847:$D$917,3,0)</f>
        <v>#VALUE!</v>
      </c>
      <c r="AH133" s="1" t="e">
        <f>VLOOKUP(AW134,Ceny!$B$847:$D$917,3,0)</f>
        <v>#VALUE!</v>
      </c>
      <c r="AI133" s="1" t="e">
        <f>(AG133+AH133)*AC133*AC138</f>
        <v>#VALUE!</v>
      </c>
      <c r="AJ133" s="1">
        <f>IF(AC143=0,0,VLOOKUP(AC143,AI157:AY171,13,0))</f>
        <v>0</v>
      </c>
      <c r="AL133" s="1">
        <f>AG153*AC133*AJ133</f>
        <v>0</v>
      </c>
      <c r="AP133" s="938" t="s">
        <v>1509</v>
      </c>
      <c r="AQ133" s="938"/>
      <c r="BB133" s="47" t="e">
        <f t="array" ref="BB133:BB150">IF(AI134=1,PANT_HETTICH_WIDE,PANT_HETTICH_SLIM)</f>
        <v>#REF!</v>
      </c>
      <c r="BC133" s="185" t="e">
        <f t="array" ref="BC133:BC150">IF(AI134=2,PANT_BLUM_WIDE,PANT_BLUM_SLIM)</f>
        <v>#REF!</v>
      </c>
      <c r="BD133" s="47" t="e">
        <f t="array" ref="BD133:BD173">IF(ISNA(IF(AND(AI134=2,AC142=NAHORE),VYKLOP_UP_WIDE,
IF(AND(AI134=2,AC142=DOLE),VYKLOP_DWN_WIDE,
IF(AND(AI134=1,AC142=NAHORE),VYKLOP_UP_SLIM,
IF(AND(AI134=1,AC142=DOLE),VYKLOP_DWN_SLIM,""))))),"",IF(BD130=2,"",IF(AND(AI134=2,AC142=NAHORE),VYKLOP_UP_WIDE,
IF(AND(AI134=2,AC142=DOLE),VYKLOP_DWN_WIDE,
IF(AND(AI134=1,AC142=NAHORE),VYKLOP_UP_SLIM,
IF(AND(AI134=1,AC142=DOLE),VYKLOP_DWN_SLIM,""))))))</f>
        <v>#REF!</v>
      </c>
      <c r="BE133" s="1" t="e">
        <f>IF(OR(ISNA(BD133),BD133="",BD133=0),"",1)</f>
        <v>#REF!</v>
      </c>
      <c r="BF133" s="47" t="e">
        <f t="array" ref="BF133:BF149">IF(AI134=1,PANT_STRONG_SLIM_BTL,PANT_STRONG_WIDE_BTL)</f>
        <v>#REF!</v>
      </c>
      <c r="BG133" s="47" t="e">
        <f t="array" ref="BG133:BG149">IF(AI134=1,PANT_STRONG_SLIM_STL,PANT_STRONG_WIDE_STL)</f>
        <v>#REF!</v>
      </c>
    </row>
    <row r="134" spans="2:59" ht="18" customHeight="1" thickBot="1">
      <c r="B134" s="80"/>
      <c r="D134" s="902"/>
      <c r="E134" s="44"/>
      <c r="F134" s="45"/>
      <c r="G134" s="45"/>
      <c r="H134" s="45"/>
      <c r="I134" s="45"/>
      <c r="J134" s="45"/>
      <c r="K134" s="45"/>
      <c r="L134" s="45"/>
      <c r="M134" s="45"/>
      <c r="N134" s="45"/>
      <c r="O134" s="45"/>
      <c r="P134" s="45"/>
      <c r="Q134" s="45"/>
      <c r="R134" s="45"/>
      <c r="S134" s="45"/>
      <c r="T134" s="45"/>
      <c r="U134" s="45"/>
      <c r="V134" s="46"/>
      <c r="W134" s="902"/>
      <c r="AA134" s="907" t="str">
        <f>Ceny_n!$B$215</f>
        <v>Typ kování</v>
      </c>
      <c r="AB134" s="908"/>
      <c r="AC134" s="207"/>
      <c r="AD134" s="167" t="s">
        <v>1189</v>
      </c>
      <c r="AE134" s="168"/>
      <c r="AF134" s="87" t="str">
        <f>IF(AC131=AF132,"",AV_HF)</f>
        <v/>
      </c>
      <c r="AI134" s="1">
        <f>IF(AC131=AF132,0,VLOOKUP(AC131,#REF!,2,0))</f>
        <v>0</v>
      </c>
      <c r="AJ134" s="193" t="str">
        <f>IF(AC134=AV_HF,HOR_DV,
IF(AC134=AV_HF_SD,HOR_DV,
IF(AC134=AV_OST,AV_HK,
IF(AC134=ZAVESY,PRAZDNE_1,""))))</f>
        <v/>
      </c>
      <c r="AK134" s="194" t="str">
        <f t="shared" ref="AK134:AK145" si="15">IF(OR(ISNA(AJ134),AJ134=""),"",1)</f>
        <v/>
      </c>
      <c r="AL134" s="799" t="s">
        <v>21</v>
      </c>
      <c r="AM134" s="799"/>
      <c r="AN134" s="799"/>
      <c r="AO134" s="181"/>
      <c r="AP134" s="1" t="e">
        <f>IF(AE136=AP135,1,IF(AE136=AP136,2,IF(AE136=AP137,3,IF(AE136=AP138,4,IF(AE136=AP139,5,IF(AE136=AP140,6,IF(AE136=AP141,7,0)))))))</f>
        <v>#VALUE!</v>
      </c>
      <c r="AR134" s="1" t="e">
        <f>VLOOKUP(AP134,AL135:AR450,5,0)</f>
        <v>#VALUE!</v>
      </c>
      <c r="AS134" s="945" t="s">
        <v>1175</v>
      </c>
      <c r="AT134" s="945"/>
      <c r="AU134" s="1" t="e">
        <f>IF(AE137=AU135,1,IF(AE137=AU136,2,0))</f>
        <v>#VALUE!</v>
      </c>
      <c r="AW134" s="1" t="e">
        <f>VLOOKUP(AU134,AL135:AS136,6,0)</f>
        <v>#VALUE!</v>
      </c>
      <c r="BB134" s="48" t="e">
        <v>#REF!</v>
      </c>
      <c r="BC134" s="186" t="e">
        <v>#REF!</v>
      </c>
      <c r="BD134" s="48" t="e">
        <v>#REF!</v>
      </c>
      <c r="BE134" s="1" t="e">
        <f t="shared" ref="BE134:BE173" si="16">IF(OR(ISNA(BD134),BD134="",BD134=0),"",1)</f>
        <v>#REF!</v>
      </c>
      <c r="BF134" s="48" t="e">
        <v>#REF!</v>
      </c>
      <c r="BG134" s="48" t="e">
        <v>#REF!</v>
      </c>
    </row>
    <row r="135" spans="2:59" ht="18" customHeight="1">
      <c r="B135" s="80"/>
      <c r="D135" s="37">
        <f>IF(AG162=2,1,0)</f>
        <v>0</v>
      </c>
      <c r="E135" s="44"/>
      <c r="F135" s="45"/>
      <c r="G135" s="45"/>
      <c r="H135" s="45"/>
      <c r="I135" s="45"/>
      <c r="J135" s="45"/>
      <c r="K135" s="45"/>
      <c r="L135" s="45"/>
      <c r="M135" s="45"/>
      <c r="N135" s="45"/>
      <c r="O135" s="45"/>
      <c r="P135" s="45"/>
      <c r="Q135" s="45"/>
      <c r="R135" s="45"/>
      <c r="S135" s="45"/>
      <c r="T135" s="45"/>
      <c r="U135" s="45"/>
      <c r="V135" s="46"/>
      <c r="W135" s="37">
        <f>IF(AG162=1,1,0)</f>
        <v>0</v>
      </c>
      <c r="AA135" s="907">
        <f>IF(AC134=AV_HF,POZ_RAM,
IF(AC134=AV_HF_SD,POZ_RAM,
IF(AC134=ZAVESY,VYR_ZAVES,
IF(AC134=AV_OST,TYP_AV,0))))</f>
        <v>0</v>
      </c>
      <c r="AB135" s="908"/>
      <c r="AC135" s="208"/>
      <c r="AD135" s="219" t="s">
        <v>1201</v>
      </c>
      <c r="AE135" s="169"/>
      <c r="AF135" s="87" t="str">
        <f>IF(AC131=AF132,"",AV_HF_SD)</f>
        <v/>
      </c>
      <c r="AH135" s="1">
        <f>IF(AC134=AV_HF,5,IF(AC134=AV_HF_SD,5,IF(AC134=AV_OST,5,8)))</f>
        <v>8</v>
      </c>
      <c r="AI135" s="190">
        <f>IF(AI134=1,$B$480,IF(AI134=2,$B$484,0))</f>
        <v>0</v>
      </c>
      <c r="AJ135" s="195" t="str">
        <f>IF(AC134=AV_HF,DOL_DV,
IF(AC134=AV_HF_SD,DOL_DV,
IF(AC134=AV_OST,AV_HK_TIP,
IF(AC134=ZAVESY,BLUM,""))))</f>
        <v/>
      </c>
      <c r="AK135" s="196" t="str">
        <f t="shared" si="15"/>
        <v/>
      </c>
      <c r="AL135" s="1">
        <v>1</v>
      </c>
      <c r="AM135" s="1">
        <f>IF(AC135=PRAZDNE_1,AI135,IF(AC135=BLUM,BC133,IF(AC135=STRONG_INT_TL,AI152,IF(AC135=STRONG_BINT_TL,AI148,IF(AC135=HETTICH,BB133,"")))))</f>
        <v>0</v>
      </c>
      <c r="AN135" s="1" t="str">
        <f t="shared" ref="AN135:AN149" si="17">IF(ISNA(VLOOKUP(AM135,$B$480:$C$615,2,0)),"",VLOOKUP(AM135,$B$480:$C$615,2,0))</f>
        <v/>
      </c>
      <c r="AO135" s="1" t="str">
        <f>CONCATENATE(AN135," (",AM135,")")</f>
        <v xml:space="preserve"> (0)</v>
      </c>
      <c r="AP135" s="199">
        <f t="array" ref="AP135:AP160">IF(OR(AC134=AV_HF,AC134=AV_HF_SD),HF_TYP_2_CILKA,
IF(AC135=AV_HL,TYP_RAM_AV_HL1,
IF(AC135=AV_HL_SD,TYP_RAM_AV_HL,
IF(OR(AC135=AV_HKXS,AC135=AV_HKXS_TIP),UMISTENI_RAM_HKXS,
IF(AC135=HETTICH,T1_PANT_HETTICH,
IF(AC135=BLUM,T1_PANT_BLUM,
IF(AC135=STRONG_BINT_TL,T1_PANT_STRONG_BTL,
IF(AC135=STRONG_INT_TL,T1_PANT_STRONG_STL,PRAZDNE_1))))))))</f>
        <v>0</v>
      </c>
      <c r="AQ135" s="194" t="str">
        <f>IF(OR(ISNA(AP135),AP135=0),"",1)</f>
        <v/>
      </c>
      <c r="AS135" s="202" t="e">
        <f>VLOOKUP(AR134,#REF!,8,0)</f>
        <v>#VALUE!</v>
      </c>
      <c r="AT135" s="194" t="e">
        <f>IF(OR(ISNA(AS135),AS135=0),"",1)</f>
        <v>#VALUE!</v>
      </c>
      <c r="AU135" s="1" t="e">
        <f>IF(OR(ISNA(AS135),AS135=0),PRAZDNE_1,VLOOKUP(AR134,#REF!,5,FALSE))</f>
        <v>#VALUE!</v>
      </c>
      <c r="BB135" s="48" t="e">
        <v>#REF!</v>
      </c>
      <c r="BC135" s="186" t="e">
        <v>#REF!</v>
      </c>
      <c r="BD135" s="48" t="e">
        <v>#REF!</v>
      </c>
      <c r="BE135" s="1" t="e">
        <f t="shared" si="16"/>
        <v>#REF!</v>
      </c>
      <c r="BF135" s="48" t="e">
        <v>#REF!</v>
      </c>
      <c r="BG135" s="48" t="e">
        <v>#REF!</v>
      </c>
    </row>
    <row r="136" spans="2:59" ht="18" customHeight="1">
      <c r="B136" s="80"/>
      <c r="D136" s="37"/>
      <c r="E136" s="44"/>
      <c r="F136" s="45"/>
      <c r="G136" s="45"/>
      <c r="H136" s="45"/>
      <c r="I136" s="45"/>
      <c r="J136" s="45"/>
      <c r="K136" s="45"/>
      <c r="L136" s="45"/>
      <c r="M136" s="45"/>
      <c r="N136" s="45"/>
      <c r="O136" s="45"/>
      <c r="P136" s="45"/>
      <c r="Q136" s="45"/>
      <c r="R136" s="32"/>
      <c r="S136" s="32"/>
      <c r="T136" s="32"/>
      <c r="U136" s="32"/>
      <c r="V136" s="33"/>
      <c r="W136" s="37"/>
      <c r="Y136" s="932"/>
      <c r="Z136" s="909"/>
      <c r="AA136" s="907" t="e">
        <f>#VALUE!</f>
        <v>#VALUE!</v>
      </c>
      <c r="AB136" s="908"/>
      <c r="AC136" s="234"/>
      <c r="AD136" s="220" t="s">
        <v>1202</v>
      </c>
      <c r="AE136" s="170" t="e">
        <f>IF(AA136=HM_UCH,0,AC136)</f>
        <v>#VALUE!</v>
      </c>
      <c r="AF136" s="87" t="str">
        <f>IF(AC131=AF132,"",AV_OST)</f>
        <v/>
      </c>
      <c r="AG136" s="1">
        <f>IF(AC135=AV_HL_SD,HM_UCH,IF(AC135=AV_HS_SD,HM_UCH,0))</f>
        <v>0</v>
      </c>
      <c r="AI136" s="191">
        <f>IF(AI134=1,$B$481,IF(AI134=2,$B$485,0))</f>
        <v>0</v>
      </c>
      <c r="AJ136" s="195" t="str">
        <f>IF(AC134=AV_OST,AV_HK_SD,
IF(AC134=ZAVESY,HETTICH,""))</f>
        <v/>
      </c>
      <c r="AK136" s="196" t="str">
        <f t="shared" si="15"/>
        <v/>
      </c>
      <c r="AL136" s="1">
        <v>2</v>
      </c>
      <c r="AM136" s="1">
        <f>IF(AC135=PRAZDNE_1,AI136,IF(AC135=BLUM,BC134,IF(AC135=STRONG_INT_TL,AI153,IF(AC135=STRONG_BINT_TL,AI149,IF(AC135=HETTICH,BB134,"")))))</f>
        <v>0</v>
      </c>
      <c r="AN136" s="1" t="str">
        <f t="shared" si="17"/>
        <v/>
      </c>
      <c r="AO136" s="1" t="str">
        <f t="shared" ref="AO136:AO160" si="18">CONCATENATE(AN136," (",AM136,")")</f>
        <v xml:space="preserve"> (0)</v>
      </c>
      <c r="AP136" s="200">
        <v>0</v>
      </c>
      <c r="AQ136" s="196" t="str">
        <f t="shared" ref="AQ136:AQ160" si="19">IF(OR(ISNA(AP136),AP136=0),"",1)</f>
        <v/>
      </c>
      <c r="AS136" s="203" t="e">
        <f>VLOOKUP(AR134,#REF!,9,0)</f>
        <v>#VALUE!</v>
      </c>
      <c r="AT136" s="196" t="e">
        <f t="shared" ref="AT136:AT144" si="20">IF(OR(ISNA(AS136),AS136=0),"",1)</f>
        <v>#VALUE!</v>
      </c>
      <c r="AU136" s="1" t="e">
        <f>IF(OR(ISNA(AS136),AS136=0),PRAZDNE_1,VLOOKUP(AR135,#REF!,5,FALSE))</f>
        <v>#VALUE!</v>
      </c>
      <c r="BB136" s="48" t="e">
        <v>#REF!</v>
      </c>
      <c r="BC136" s="186" t="e">
        <v>#REF!</v>
      </c>
      <c r="BD136" s="48" t="e">
        <v>#REF!</v>
      </c>
      <c r="BE136" s="1" t="e">
        <f t="shared" si="16"/>
        <v>#REF!</v>
      </c>
      <c r="BF136" s="48" t="e">
        <v>#REF!</v>
      </c>
      <c r="BG136" s="48" t="e">
        <v>#REF!</v>
      </c>
    </row>
    <row r="137" spans="2:59" ht="18" customHeight="1">
      <c r="B137" s="80"/>
      <c r="D137" s="37"/>
      <c r="E137" s="44"/>
      <c r="F137" s="45"/>
      <c r="G137" s="45"/>
      <c r="H137" s="45"/>
      <c r="I137" s="45"/>
      <c r="J137" s="45"/>
      <c r="K137" s="45"/>
      <c r="L137" s="45"/>
      <c r="M137" s="45"/>
      <c r="N137" s="45"/>
      <c r="O137" s="45"/>
      <c r="P137" s="45"/>
      <c r="Q137" s="45"/>
      <c r="R137" s="34" t="s">
        <v>15</v>
      </c>
      <c r="S137" s="45"/>
      <c r="T137" s="45"/>
      <c r="U137" s="49"/>
      <c r="V137" s="46"/>
      <c r="W137" s="37"/>
      <c r="Y137" s="933"/>
      <c r="Z137" s="910"/>
      <c r="AA137" s="907">
        <f>IF(AC134=AV_HF,HM_UCH,
IF(AC135=AV_HL,HM_UCH,
IF('Běžné rámečky'!AC135=AV_HL_SD,HM_UCH,
IF(AC134=AV_HF_SD,HM_UCH,
IF(AC134=ZAVESY,TYP_PODL,IF(AC135=AV_HKXS,HM_UCH,0))))))</f>
        <v>0</v>
      </c>
      <c r="AB137" s="908"/>
      <c r="AC137" s="208"/>
      <c r="AD137" s="220" t="s">
        <v>1503</v>
      </c>
      <c r="AE137" s="170">
        <f>IF(AA137=HM_UCH,0,AC137)</f>
        <v>0</v>
      </c>
      <c r="AF137" s="87" t="str">
        <f>IF(AC131=$B$372,0,$J$353)</f>
        <v>Závěsy se zvedacím pístem</v>
      </c>
      <c r="AI137" s="191">
        <f>IF(AI134=1,$B$482,IF(AI134=2,$B$486,0))</f>
        <v>0</v>
      </c>
      <c r="AJ137" s="195" t="str">
        <f>IF(AC134=AV_OST,AV_HL,
IF(AC134=ZAVESY,STRONG_INT_TL,""))</f>
        <v/>
      </c>
      <c r="AK137" s="196" t="str">
        <f t="shared" si="15"/>
        <v/>
      </c>
      <c r="AL137" s="1">
        <v>3</v>
      </c>
      <c r="AM137" s="1">
        <f>IF(AC135=PRAZDNE_1,AI137,IF(AC135=BLUM,BC135,IF(AC135=STRONG_INT_TL,AI154,IF(AC135=STRONG_BINT_TL,AI150,IF(AC135=HETTICH,BB135,"")))))</f>
        <v>0</v>
      </c>
      <c r="AN137" s="1" t="str">
        <f t="shared" si="17"/>
        <v/>
      </c>
      <c r="AO137" s="1" t="str">
        <f t="shared" si="18"/>
        <v xml:space="preserve"> (0)</v>
      </c>
      <c r="AP137" s="200">
        <v>0</v>
      </c>
      <c r="AQ137" s="196" t="str">
        <f t="shared" si="19"/>
        <v/>
      </c>
      <c r="AS137" s="203" t="e">
        <f>VLOOKUP(AR134,#REF!,10,0)</f>
        <v>#VALUE!</v>
      </c>
      <c r="AT137" s="196" t="e">
        <f t="shared" si="20"/>
        <v>#VALUE!</v>
      </c>
      <c r="AU137" s="1" t="e">
        <f>IF(OR(ISNA(AS137),AS137=0),PRAZDNE_1,VLOOKUP(AR136,#REF!,5,FALSE))</f>
        <v>#VALUE!</v>
      </c>
      <c r="BB137" s="48" t="e">
        <v>#REF!</v>
      </c>
      <c r="BC137" s="186" t="e">
        <v>#REF!</v>
      </c>
      <c r="BD137" s="48" t="e">
        <v>#REF!</v>
      </c>
      <c r="BE137" s="1" t="e">
        <f t="shared" si="16"/>
        <v>#REF!</v>
      </c>
      <c r="BF137" s="48" t="e">
        <v>#REF!</v>
      </c>
      <c r="BG137" s="48" t="e">
        <v>#REF!</v>
      </c>
    </row>
    <row r="138" spans="2:59" ht="18" customHeight="1">
      <c r="B138" s="80"/>
      <c r="D138" s="37" t="b">
        <f>IF(AG162=2,IF(AC138=4,1,0))</f>
        <v>0</v>
      </c>
      <c r="E138" s="44"/>
      <c r="F138" s="45"/>
      <c r="G138" s="45"/>
      <c r="H138" s="45"/>
      <c r="I138" s="45"/>
      <c r="J138" s="45"/>
      <c r="K138" s="45"/>
      <c r="L138" s="45"/>
      <c r="M138" s="45"/>
      <c r="N138" s="45"/>
      <c r="O138" s="45"/>
      <c r="P138" s="45"/>
      <c r="Q138" s="45"/>
      <c r="R138" s="45"/>
      <c r="S138" s="50"/>
      <c r="T138" s="51"/>
      <c r="U138" s="49"/>
      <c r="V138" s="46"/>
      <c r="W138" s="37" t="b">
        <f>IF(AG162=1,IF(AC138=4,1,0))</f>
        <v>0</v>
      </c>
      <c r="X138" s="30"/>
      <c r="Y138" s="933"/>
      <c r="Z138" s="910"/>
      <c r="AA138" s="907">
        <f>IF(AC134=ZAVESY,POC_ZAVES,0)</f>
        <v>0</v>
      </c>
      <c r="AB138" s="908"/>
      <c r="AC138" s="207"/>
      <c r="AD138" s="167" t="s">
        <v>1194</v>
      </c>
      <c r="AE138" s="168"/>
      <c r="AI138" s="191">
        <f>IF(AI134=1,$B$483,IF(AI134=2,$B$487,0))</f>
        <v>0</v>
      </c>
      <c r="AJ138" s="195" t="str">
        <f>IF(AC134=AV_OST,AV_HL_SD,
IF(AC134=ZAVESY,STRONG_BINT_TL,""))</f>
        <v/>
      </c>
      <c r="AK138" s="196" t="str">
        <f t="shared" si="15"/>
        <v/>
      </c>
      <c r="AL138" s="1">
        <v>4</v>
      </c>
      <c r="AM138" s="1">
        <f>IF(AC135=PRAZDNE_1,AI138,IF(AC135=BLUM,BC136,IF(AC135=STRONG_INT_TL,AI155,IF(AC135=STRONG_BINT_TL,AI151,IF(AC135=HETTICH,BB136,"")))))</f>
        <v>0</v>
      </c>
      <c r="AN138" s="1" t="str">
        <f t="shared" si="17"/>
        <v/>
      </c>
      <c r="AO138" s="1" t="str">
        <f t="shared" si="18"/>
        <v xml:space="preserve"> (0)</v>
      </c>
      <c r="AP138" s="200">
        <v>0</v>
      </c>
      <c r="AQ138" s="196" t="str">
        <f t="shared" si="19"/>
        <v/>
      </c>
      <c r="AS138" s="203" t="e">
        <f>VLOOKUP(AR134,#REF!,11,0)</f>
        <v>#VALUE!</v>
      </c>
      <c r="AT138" s="196" t="e">
        <f t="shared" si="20"/>
        <v>#VALUE!</v>
      </c>
      <c r="BB138" s="48" t="e">
        <v>#REF!</v>
      </c>
      <c r="BC138" s="186" t="e">
        <v>#REF!</v>
      </c>
      <c r="BD138" s="48" t="e">
        <v>#REF!</v>
      </c>
      <c r="BE138" s="1" t="e">
        <f t="shared" si="16"/>
        <v>#REF!</v>
      </c>
      <c r="BF138" s="48" t="e">
        <v>#REF!</v>
      </c>
      <c r="BG138" s="48" t="e">
        <v>#REF!</v>
      </c>
    </row>
    <row r="139" spans="2:59" ht="18" customHeight="1">
      <c r="B139" s="80"/>
      <c r="D139" s="37"/>
      <c r="E139" s="44"/>
      <c r="F139" s="45"/>
      <c r="G139" s="45"/>
      <c r="H139" s="45"/>
      <c r="I139" s="45"/>
      <c r="J139" s="45"/>
      <c r="K139" s="45"/>
      <c r="L139" s="45"/>
      <c r="M139" s="45"/>
      <c r="N139" s="45"/>
      <c r="O139" s="45"/>
      <c r="P139" s="45"/>
      <c r="Q139" s="45"/>
      <c r="R139" s="45"/>
      <c r="S139" s="931"/>
      <c r="T139" s="51"/>
      <c r="U139" s="49"/>
      <c r="V139" s="46"/>
      <c r="W139" s="37"/>
      <c r="Y139" s="933"/>
      <c r="Z139" s="910"/>
      <c r="AA139" s="907">
        <f>IF(AC134=ZAVESY,VZD_ZAVES,0)</f>
        <v>0</v>
      </c>
      <c r="AB139" s="908"/>
      <c r="AC139" s="209"/>
      <c r="AD139" s="167" t="s">
        <v>1195</v>
      </c>
      <c r="AE139" s="171"/>
      <c r="AF139" s="948"/>
      <c r="AI139" s="191">
        <f>IF(AI134=2,$B$488,0)</f>
        <v>0</v>
      </c>
      <c r="AJ139" s="195" t="str">
        <f>IF(AC134=AV_OST,AV_HS,
IF(AC134=ZAVESY,
IF(AI134=1,PANT_STRONG_PLUS_SLIM,PANT_STRONG_SLIM_BTL),""))</f>
        <v/>
      </c>
      <c r="AK139" s="196" t="str">
        <f t="shared" si="15"/>
        <v/>
      </c>
      <c r="AL139" s="1">
        <v>5</v>
      </c>
      <c r="AM139" s="1">
        <f>IF(AC135=PRAZDNE_1,AI139,IF(AC135=BLUM,BC137,IF(AC135=HETTICH,BB137,"")))</f>
        <v>0</v>
      </c>
      <c r="AN139" s="1" t="str">
        <f t="shared" si="17"/>
        <v/>
      </c>
      <c r="AO139" s="1" t="str">
        <f t="shared" si="18"/>
        <v xml:space="preserve"> (0)</v>
      </c>
      <c r="AP139" s="200">
        <v>0</v>
      </c>
      <c r="AQ139" s="196" t="str">
        <f t="shared" si="19"/>
        <v/>
      </c>
      <c r="AS139" s="203" t="e">
        <f>VLOOKUP(AR134,#REF!,12,0)</f>
        <v>#VALUE!</v>
      </c>
      <c r="AT139" s="196" t="e">
        <f t="shared" si="20"/>
        <v>#VALUE!</v>
      </c>
      <c r="BB139" s="48" t="e">
        <v>#REF!</v>
      </c>
      <c r="BC139" s="186" t="e">
        <v>#REF!</v>
      </c>
      <c r="BD139" s="48" t="e">
        <v>#REF!</v>
      </c>
      <c r="BE139" s="1" t="e">
        <f t="shared" si="16"/>
        <v>#REF!</v>
      </c>
      <c r="BF139" s="48" t="e">
        <v>#REF!</v>
      </c>
      <c r="BG139" s="48" t="e">
        <v>#REF!</v>
      </c>
    </row>
    <row r="140" spans="2:59" ht="24.75" customHeight="1" thickBot="1">
      <c r="B140" s="80"/>
      <c r="D140" s="37"/>
      <c r="E140" s="44"/>
      <c r="F140" s="45"/>
      <c r="G140" s="45"/>
      <c r="H140" s="45"/>
      <c r="I140" s="45"/>
      <c r="J140" s="45"/>
      <c r="K140" s="45"/>
      <c r="L140" s="45"/>
      <c r="M140" s="45"/>
      <c r="N140" s="45"/>
      <c r="O140" s="45"/>
      <c r="P140" s="45"/>
      <c r="Q140" s="45"/>
      <c r="R140" s="45"/>
      <c r="S140" s="931"/>
      <c r="T140" s="51"/>
      <c r="U140" s="49"/>
      <c r="V140" s="46"/>
      <c r="W140" s="37"/>
      <c r="Y140" s="933"/>
      <c r="Z140" s="910"/>
      <c r="AA140" s="188"/>
      <c r="AB140" s="189"/>
      <c r="AC140" s="210"/>
      <c r="AD140" s="221"/>
      <c r="AE140" s="172"/>
      <c r="AF140" s="948"/>
      <c r="AI140" s="192">
        <f>IF(AI134=2,$B$489,0)</f>
        <v>0</v>
      </c>
      <c r="AJ140" s="195" t="str">
        <f>IF(AC134=AV_OST,AV_HS_SD,"")</f>
        <v/>
      </c>
      <c r="AK140" s="196" t="str">
        <f t="shared" si="15"/>
        <v/>
      </c>
      <c r="AL140" s="1">
        <v>6</v>
      </c>
      <c r="AM140" s="1">
        <f>IF(AC135=PRAZDNE_1,AI140,IF(AC135=BLUM,BC138,IF(AC135=HETTICH,BB138,"")))</f>
        <v>0</v>
      </c>
      <c r="AN140" s="1" t="str">
        <f t="shared" si="17"/>
        <v/>
      </c>
      <c r="AO140" s="1" t="str">
        <f t="shared" si="18"/>
        <v xml:space="preserve"> (0)</v>
      </c>
      <c r="AP140" s="200">
        <v>0</v>
      </c>
      <c r="AQ140" s="196" t="str">
        <f t="shared" si="19"/>
        <v/>
      </c>
      <c r="AS140" s="203" t="e">
        <f>VLOOKUP(AR134,#REF!,13,0)</f>
        <v>#VALUE!</v>
      </c>
      <c r="AT140" s="196" t="e">
        <f t="shared" si="20"/>
        <v>#VALUE!</v>
      </c>
      <c r="BB140" s="48" t="e">
        <v>#REF!</v>
      </c>
      <c r="BC140" s="186" t="e">
        <v>#REF!</v>
      </c>
      <c r="BD140" s="48" t="e">
        <v>#REF!</v>
      </c>
      <c r="BE140" s="1" t="e">
        <f t="shared" si="16"/>
        <v>#REF!</v>
      </c>
      <c r="BF140" s="48" t="e">
        <v>#REF!</v>
      </c>
      <c r="BG140" s="48" t="e">
        <v>#REF!</v>
      </c>
    </row>
    <row r="141" spans="2:59" ht="18.75" customHeight="1">
      <c r="B141" s="80"/>
      <c r="D141" s="37"/>
      <c r="E141" s="44"/>
      <c r="F141" s="45"/>
      <c r="G141" s="45"/>
      <c r="H141" s="45"/>
      <c r="I141" s="45"/>
      <c r="J141" s="45"/>
      <c r="K141" s="45"/>
      <c r="L141" s="45"/>
      <c r="M141" s="45"/>
      <c r="N141" s="45"/>
      <c r="O141" s="45"/>
      <c r="P141" s="45"/>
      <c r="Q141" s="45"/>
      <c r="R141" s="45"/>
      <c r="S141" s="931"/>
      <c r="T141" s="51"/>
      <c r="U141" s="49"/>
      <c r="V141" s="46"/>
      <c r="W141" s="37"/>
      <c r="Y141" s="933"/>
      <c r="Z141" s="910"/>
      <c r="AA141" s="188"/>
      <c r="AB141" s="189"/>
      <c r="AC141" s="210"/>
      <c r="AD141" s="221"/>
      <c r="AE141" s="172"/>
      <c r="AF141" s="948"/>
      <c r="AI141" s="190">
        <f>IF(AI134=1,$B$499,IF(AI134=2,$B$507,0))</f>
        <v>0</v>
      </c>
      <c r="AJ141" s="195" t="str">
        <f>IF(AC134=AV_OST,AV_HKS,"")</f>
        <v/>
      </c>
      <c r="AK141" s="196" t="str">
        <f t="shared" si="15"/>
        <v/>
      </c>
      <c r="AL141" s="1">
        <v>7</v>
      </c>
      <c r="AM141" s="1" t="str">
        <f>IF(AC135=HETTICH,BB139,IF(AC135=BLUM,BC139,""))</f>
        <v/>
      </c>
      <c r="AN141" s="1" t="str">
        <f t="shared" si="17"/>
        <v/>
      </c>
      <c r="AO141" s="1" t="str">
        <f t="shared" si="18"/>
        <v xml:space="preserve"> ()</v>
      </c>
      <c r="AP141" s="200">
        <v>0</v>
      </c>
      <c r="AQ141" s="196" t="str">
        <f t="shared" si="19"/>
        <v/>
      </c>
      <c r="AS141" s="203"/>
      <c r="AT141" s="196" t="str">
        <f t="shared" si="20"/>
        <v/>
      </c>
      <c r="BB141" s="48" t="e">
        <v>#REF!</v>
      </c>
      <c r="BC141" s="186" t="e">
        <v>#REF!</v>
      </c>
      <c r="BD141" s="48" t="e">
        <v>#REF!</v>
      </c>
      <c r="BE141" s="1" t="e">
        <f t="shared" si="16"/>
        <v>#REF!</v>
      </c>
      <c r="BF141" s="48" t="e">
        <v>#REF!</v>
      </c>
      <c r="BG141" s="48" t="e">
        <v>#REF!</v>
      </c>
    </row>
    <row r="142" spans="2:59" ht="18" customHeight="1">
      <c r="B142" s="80"/>
      <c r="D142" s="37" t="b">
        <f>IF(AG162=2,IF(AC138=3,1,0))</f>
        <v>0</v>
      </c>
      <c r="E142" s="44"/>
      <c r="F142" s="45"/>
      <c r="G142" s="45"/>
      <c r="H142" s="45"/>
      <c r="I142" s="45"/>
      <c r="J142" s="45"/>
      <c r="K142" s="45"/>
      <c r="L142" s="45"/>
      <c r="M142" s="45"/>
      <c r="N142" s="45"/>
      <c r="O142" s="45"/>
      <c r="P142" s="45"/>
      <c r="Q142" s="45"/>
      <c r="R142" s="45"/>
      <c r="S142" s="931"/>
      <c r="T142" s="51"/>
      <c r="U142" s="49"/>
      <c r="V142" s="46"/>
      <c r="W142" s="37" t="b">
        <f>IF(AG162=1,IF(AC138=3,1,0))</f>
        <v>0</v>
      </c>
      <c r="Y142" s="933"/>
      <c r="Z142" s="910"/>
      <c r="AA142" s="907">
        <f>IF(AC134=ZAVESY,Ceny!$B$196,0)</f>
        <v>0</v>
      </c>
      <c r="AB142" s="908"/>
      <c r="AC142" s="207"/>
      <c r="AD142" s="167" t="s">
        <v>1196</v>
      </c>
      <c r="AE142" s="168"/>
      <c r="AG142" s="1">
        <v>2</v>
      </c>
      <c r="AH142" s="1">
        <f>IF(AC134=ZAVESY,AG142,0)</f>
        <v>0</v>
      </c>
      <c r="AI142" s="191">
        <f>IF(AI134=1,$B$500,IF(AI134=2,$B$508,0))</f>
        <v>0</v>
      </c>
      <c r="AJ142" s="195" t="str">
        <f>IF(AC134=AV_OST,AV_HKS_TIP,"")</f>
        <v/>
      </c>
      <c r="AK142" s="196" t="str">
        <f t="shared" si="15"/>
        <v/>
      </c>
      <c r="AL142" s="1">
        <v>8</v>
      </c>
      <c r="AM142" s="1" t="str">
        <f>IF(AC135=HETTICH,BB140,IF(AC135=BLUM,BC140,""))</f>
        <v/>
      </c>
      <c r="AN142" s="1" t="str">
        <f t="shared" si="17"/>
        <v/>
      </c>
      <c r="AO142" s="1" t="str">
        <f t="shared" si="18"/>
        <v xml:space="preserve"> ()</v>
      </c>
      <c r="AP142" s="200">
        <v>0</v>
      </c>
      <c r="AQ142" s="196" t="str">
        <f t="shared" si="19"/>
        <v/>
      </c>
      <c r="AS142" s="203"/>
      <c r="AT142" s="196" t="str">
        <f t="shared" si="20"/>
        <v/>
      </c>
      <c r="BB142" s="48" t="e">
        <v>#REF!</v>
      </c>
      <c r="BC142" s="186" t="e">
        <v>#REF!</v>
      </c>
      <c r="BD142" s="48" t="e">
        <v>#REF!</v>
      </c>
      <c r="BE142" s="1" t="e">
        <f t="shared" si="16"/>
        <v>#REF!</v>
      </c>
      <c r="BF142" s="48" t="e">
        <v>#REF!</v>
      </c>
      <c r="BG142" s="48" t="e">
        <v>#REF!</v>
      </c>
    </row>
    <row r="143" spans="2:59" ht="18" customHeight="1">
      <c r="B143" s="80"/>
      <c r="D143" s="37"/>
      <c r="E143" s="44"/>
      <c r="F143" s="45"/>
      <c r="G143" s="45"/>
      <c r="H143" s="45"/>
      <c r="I143" s="45"/>
      <c r="J143" s="45"/>
      <c r="K143" s="45"/>
      <c r="L143" s="45"/>
      <c r="M143" s="45"/>
      <c r="N143" s="45"/>
      <c r="O143" s="45"/>
      <c r="P143" s="45"/>
      <c r="Q143" s="45"/>
      <c r="R143" s="45"/>
      <c r="S143" s="904"/>
      <c r="T143" s="51"/>
      <c r="U143" s="49"/>
      <c r="V143" s="46"/>
      <c r="W143" s="37"/>
      <c r="Y143" s="933"/>
      <c r="Z143" s="910"/>
      <c r="AA143" s="907">
        <f>IF(AG162=1,0,IF(AG162=2,0,IF(AC134=ZAVESY,IF(BD130,0,Ceny!$B$184),0)))</f>
        <v>0</v>
      </c>
      <c r="AB143" s="908"/>
      <c r="AC143" s="152"/>
      <c r="AD143" s="167" t="s">
        <v>1504</v>
      </c>
      <c r="AE143" s="168"/>
      <c r="AF143" s="87" t="b">
        <v>1</v>
      </c>
      <c r="AG143" s="1">
        <v>3</v>
      </c>
      <c r="AH143" s="1">
        <f>IF(AC134=ZAVESY,AG143,0)</f>
        <v>0</v>
      </c>
      <c r="AI143" s="191">
        <f>IF(AI134=1,$B$501,IF(AI134=2,$B$509,0))</f>
        <v>0</v>
      </c>
      <c r="AJ143" s="195" t="str">
        <f>IF(AC134=AV_OST,AV_HKXS,"")</f>
        <v/>
      </c>
      <c r="AK143" s="196" t="str">
        <f t="shared" si="15"/>
        <v/>
      </c>
      <c r="AL143" s="1">
        <v>9</v>
      </c>
      <c r="AM143" s="1" t="str">
        <f>IF(AC135=HETTICH,BB141,IF(AC135=BLUM,BC141,""))</f>
        <v/>
      </c>
      <c r="AN143" s="1" t="str">
        <f t="shared" si="17"/>
        <v/>
      </c>
      <c r="AO143" s="1" t="str">
        <f t="shared" si="18"/>
        <v xml:space="preserve"> ()</v>
      </c>
      <c r="AP143" s="200">
        <v>0</v>
      </c>
      <c r="AQ143" s="196" t="str">
        <f t="shared" si="19"/>
        <v/>
      </c>
      <c r="AS143" s="203"/>
      <c r="AT143" s="196" t="str">
        <f t="shared" si="20"/>
        <v/>
      </c>
      <c r="BB143" s="48" t="e">
        <v>#REF!</v>
      </c>
      <c r="BC143" s="186" t="e">
        <v>#REF!</v>
      </c>
      <c r="BD143" s="48" t="e">
        <v>#REF!</v>
      </c>
      <c r="BE143" s="1" t="e">
        <f t="shared" si="16"/>
        <v>#REF!</v>
      </c>
      <c r="BF143" s="48" t="e">
        <v>#REF!</v>
      </c>
      <c r="BG143" s="48" t="e">
        <v>#REF!</v>
      </c>
    </row>
    <row r="144" spans="2:59" ht="18" customHeight="1" thickBot="1">
      <c r="B144" s="80"/>
      <c r="D144" s="37" t="b">
        <f>IF(AG162=2,IF(AC138=4,1,0))</f>
        <v>0</v>
      </c>
      <c r="E144" s="44"/>
      <c r="F144" s="45"/>
      <c r="G144" s="45"/>
      <c r="H144" s="45"/>
      <c r="I144" s="45"/>
      <c r="J144" s="45"/>
      <c r="K144" s="45"/>
      <c r="L144" s="45"/>
      <c r="M144" s="45"/>
      <c r="N144" s="45"/>
      <c r="O144" s="45"/>
      <c r="P144" s="45"/>
      <c r="Q144" s="45"/>
      <c r="R144" s="45"/>
      <c r="S144" s="51"/>
      <c r="T144" s="51"/>
      <c r="U144" s="49"/>
      <c r="V144" s="46"/>
      <c r="W144" s="37" t="b">
        <f>IF(AG162=1,IF(AC138=4,1,0))</f>
        <v>0</v>
      </c>
      <c r="Y144" s="943" t="str">
        <f>Ceny_n!$B$136</f>
        <v>Výška</v>
      </c>
      <c r="Z144" s="910"/>
      <c r="AA144" s="946">
        <f>IF(AC143=0,0,Ceny!$B$186)</f>
        <v>0</v>
      </c>
      <c r="AB144" s="947"/>
      <c r="AC144" s="153"/>
      <c r="AD144" s="167" t="s">
        <v>1198</v>
      </c>
      <c r="AE144" s="168"/>
      <c r="AG144" s="1">
        <v>4</v>
      </c>
      <c r="AH144" s="1">
        <f>IF(AC134=ZAVESY,AG144,0)</f>
        <v>0</v>
      </c>
      <c r="AI144" s="191">
        <f>IF(AI134=1,$B$502,IF(AI134=2,$B$510,0))</f>
        <v>0</v>
      </c>
      <c r="AJ144" s="197" t="str">
        <f>IF(AC134=AV_OST,AV_HKXS_TIP,"")</f>
        <v/>
      </c>
      <c r="AK144" s="198" t="str">
        <f t="shared" si="15"/>
        <v/>
      </c>
      <c r="AL144" s="1">
        <v>10</v>
      </c>
      <c r="AM144" s="1" t="str">
        <f>IF(AC135=HETTICH,BB142,IF(AC135=BLUM,BC142,""))</f>
        <v/>
      </c>
      <c r="AN144" s="1" t="str">
        <f t="shared" si="17"/>
        <v/>
      </c>
      <c r="AO144" s="1" t="str">
        <f t="shared" si="18"/>
        <v xml:space="preserve"> ()</v>
      </c>
      <c r="AP144" s="200">
        <v>0</v>
      </c>
      <c r="AQ144" s="196" t="str">
        <f t="shared" si="19"/>
        <v/>
      </c>
      <c r="AS144" s="204"/>
      <c r="AT144" s="198" t="str">
        <f t="shared" si="20"/>
        <v/>
      </c>
      <c r="BB144" s="48" t="e">
        <v>#REF!</v>
      </c>
      <c r="BC144" s="186" t="e">
        <v>#REF!</v>
      </c>
      <c r="BD144" s="48" t="e">
        <v>#REF!</v>
      </c>
      <c r="BE144" s="1" t="e">
        <f t="shared" si="16"/>
        <v>#REF!</v>
      </c>
      <c r="BF144" s="48" t="e">
        <v>#REF!</v>
      </c>
      <c r="BG144" s="48" t="e">
        <v>#REF!</v>
      </c>
    </row>
    <row r="145" spans="2:59" ht="3" customHeight="1">
      <c r="B145" s="80"/>
      <c r="D145" s="37"/>
      <c r="E145" s="44"/>
      <c r="F145" s="45"/>
      <c r="G145" s="45"/>
      <c r="H145" s="45"/>
      <c r="I145" s="45"/>
      <c r="J145" s="45"/>
      <c r="K145" s="45"/>
      <c r="L145" s="45"/>
      <c r="M145" s="45"/>
      <c r="N145" s="45"/>
      <c r="O145" s="45"/>
      <c r="P145" s="45"/>
      <c r="Q145" s="45"/>
      <c r="R145" s="45"/>
      <c r="S145" s="51"/>
      <c r="T145" s="51"/>
      <c r="U145" s="49"/>
      <c r="V145" s="46"/>
      <c r="W145" s="37"/>
      <c r="Y145" s="943"/>
      <c r="Z145" s="910"/>
      <c r="AA145" s="934"/>
      <c r="AB145" s="921" t="str">
        <f>Ceny_n!$B$185</f>
        <v>Dodat včetně uvedeného kování</v>
      </c>
      <c r="AC145" s="922"/>
      <c r="AD145" s="222"/>
      <c r="AE145" s="173"/>
      <c r="AG145" s="1">
        <v>5</v>
      </c>
      <c r="AH145" s="1">
        <f>IF(AC134=ZAVESY,AG145,0)</f>
        <v>0</v>
      </c>
      <c r="AI145" s="48">
        <f>IF(AI134=1,$B$503,IF(AI134=2,$B$511,0))</f>
        <v>0</v>
      </c>
      <c r="AK145" s="1" t="str">
        <f t="shared" si="15"/>
        <v/>
      </c>
      <c r="AL145" s="1">
        <v>11</v>
      </c>
      <c r="AM145" s="1">
        <f>IF(AC135=HETTICH,BB143,IF(AC135=BLUM,BC143,))</f>
        <v>0</v>
      </c>
      <c r="AN145" s="1" t="str">
        <f t="shared" si="17"/>
        <v/>
      </c>
      <c r="AO145" s="1" t="str">
        <f t="shared" si="18"/>
        <v xml:space="preserve"> (0)</v>
      </c>
      <c r="AP145" s="200">
        <v>0</v>
      </c>
      <c r="AQ145" s="196" t="str">
        <f t="shared" si="19"/>
        <v/>
      </c>
      <c r="BB145" s="48" t="e">
        <v>#REF!</v>
      </c>
      <c r="BC145" s="186" t="e">
        <v>#REF!</v>
      </c>
      <c r="BD145" s="48" t="e">
        <v>#REF!</v>
      </c>
      <c r="BE145" s="1" t="e">
        <f t="shared" si="16"/>
        <v>#REF!</v>
      </c>
      <c r="BF145" s="48" t="e">
        <v>#REF!</v>
      </c>
      <c r="BG145" s="48" t="e">
        <v>#REF!</v>
      </c>
    </row>
    <row r="146" spans="2:59" ht="15.75" customHeight="1">
      <c r="B146" s="80"/>
      <c r="D146" s="37"/>
      <c r="E146" s="44"/>
      <c r="F146" s="45"/>
      <c r="G146" s="45"/>
      <c r="H146" s="45"/>
      <c r="I146" s="45"/>
      <c r="J146" s="45"/>
      <c r="K146" s="45"/>
      <c r="L146" s="45"/>
      <c r="M146" s="45"/>
      <c r="N146" s="45"/>
      <c r="O146" s="45"/>
      <c r="P146" s="45"/>
      <c r="Q146" s="45"/>
      <c r="R146" s="45"/>
      <c r="S146" s="45"/>
      <c r="T146" s="45"/>
      <c r="U146" s="45"/>
      <c r="V146" s="46"/>
      <c r="W146" s="37"/>
      <c r="Y146" s="943"/>
      <c r="Z146" s="910"/>
      <c r="AA146" s="935"/>
      <c r="AB146" s="923"/>
      <c r="AC146" s="924"/>
      <c r="AD146" s="222"/>
      <c r="AE146" s="173"/>
      <c r="AI146" s="48">
        <f>IF(AI134=1,$B$504,IF(AI134=2,$B$513,0))</f>
        <v>0</v>
      </c>
      <c r="AL146" s="1">
        <v>12</v>
      </c>
      <c r="AM146" s="1" t="str">
        <f>IF(AC135=HETTICH,BB144,IF(AC135=BLUM,BC144,""))</f>
        <v/>
      </c>
      <c r="AN146" s="1" t="str">
        <f t="shared" si="17"/>
        <v/>
      </c>
      <c r="AO146" s="1" t="str">
        <f t="shared" si="18"/>
        <v xml:space="preserve"> ()</v>
      </c>
      <c r="AP146" s="200">
        <v>0</v>
      </c>
      <c r="AQ146" s="196" t="str">
        <f t="shared" si="19"/>
        <v/>
      </c>
      <c r="BB146" s="48" t="e">
        <v>#REF!</v>
      </c>
      <c r="BC146" s="186" t="e">
        <v>#REF!</v>
      </c>
      <c r="BD146" s="48" t="e">
        <v>#REF!</v>
      </c>
      <c r="BE146" s="1" t="e">
        <f t="shared" si="16"/>
        <v>#REF!</v>
      </c>
      <c r="BF146" s="48" t="e">
        <v>#REF!</v>
      </c>
      <c r="BG146" s="48" t="e">
        <v>#REF!</v>
      </c>
    </row>
    <row r="147" spans="2:59" ht="12.75" customHeight="1" thickBot="1">
      <c r="B147" s="80"/>
      <c r="D147" s="37"/>
      <c r="E147" s="44"/>
      <c r="F147" s="45"/>
      <c r="G147" s="45"/>
      <c r="H147" s="45"/>
      <c r="I147" s="45"/>
      <c r="J147" s="45"/>
      <c r="K147" s="45"/>
      <c r="L147" s="45"/>
      <c r="M147" s="45"/>
      <c r="N147" s="45"/>
      <c r="O147" s="45"/>
      <c r="P147" s="45"/>
      <c r="Q147" s="45"/>
      <c r="R147" s="45"/>
      <c r="S147" s="45"/>
      <c r="T147" s="45"/>
      <c r="U147" s="939"/>
      <c r="V147" s="46"/>
      <c r="W147" s="37"/>
      <c r="Y147" s="943"/>
      <c r="Z147" s="910"/>
      <c r="AA147" s="935"/>
      <c r="AB147" s="923"/>
      <c r="AC147" s="924"/>
      <c r="AD147" s="222"/>
      <c r="AE147" s="173"/>
      <c r="AI147" s="52">
        <f>IF(AI134=1,$B$506,0)</f>
        <v>0</v>
      </c>
      <c r="AL147" s="1">
        <v>13</v>
      </c>
      <c r="AM147" s="180"/>
      <c r="AN147" s="1" t="str">
        <f t="shared" si="17"/>
        <v/>
      </c>
      <c r="AO147" s="1" t="str">
        <f t="shared" si="18"/>
        <v xml:space="preserve"> ()</v>
      </c>
      <c r="AP147" s="200">
        <v>0</v>
      </c>
      <c r="AQ147" s="196" t="str">
        <f t="shared" si="19"/>
        <v/>
      </c>
      <c r="BB147" s="48" t="e">
        <v>#REF!</v>
      </c>
      <c r="BC147" s="186" t="e">
        <v>#REF!</v>
      </c>
      <c r="BD147" s="48" t="e">
        <v>#REF!</v>
      </c>
      <c r="BE147" s="1" t="e">
        <f t="shared" si="16"/>
        <v>#REF!</v>
      </c>
      <c r="BF147" s="48" t="e">
        <v>#REF!</v>
      </c>
      <c r="BG147" s="48" t="e">
        <v>#REF!</v>
      </c>
    </row>
    <row r="148" spans="2:59" ht="0.75" customHeight="1">
      <c r="B148" s="80"/>
      <c r="D148" s="37"/>
      <c r="E148" s="44"/>
      <c r="F148" s="45"/>
      <c r="G148" s="45"/>
      <c r="H148" s="45"/>
      <c r="I148" s="45"/>
      <c r="J148" s="45"/>
      <c r="K148" s="45"/>
      <c r="L148" s="45"/>
      <c r="M148" s="45"/>
      <c r="N148" s="45"/>
      <c r="O148" s="45"/>
      <c r="P148" s="45"/>
      <c r="Q148" s="45"/>
      <c r="R148" s="45"/>
      <c r="S148" s="45"/>
      <c r="T148" s="45"/>
      <c r="U148" s="940"/>
      <c r="V148" s="46"/>
      <c r="W148" s="37"/>
      <c r="Y148" s="943"/>
      <c r="Z148" s="910"/>
      <c r="AA148" s="936"/>
      <c r="AB148" s="925"/>
      <c r="AC148" s="926"/>
      <c r="AD148" s="222"/>
      <c r="AE148" s="173"/>
      <c r="AI148" s="47">
        <f>IF(AI134=2,$B$520,0)</f>
        <v>0</v>
      </c>
      <c r="AL148" s="1">
        <v>14</v>
      </c>
      <c r="AN148" s="1" t="str">
        <f t="shared" si="17"/>
        <v/>
      </c>
      <c r="AO148" s="1" t="str">
        <f t="shared" si="18"/>
        <v xml:space="preserve"> ()</v>
      </c>
      <c r="AP148" s="200">
        <v>0</v>
      </c>
      <c r="AQ148" s="196" t="str">
        <f t="shared" si="19"/>
        <v/>
      </c>
      <c r="BB148" s="48" t="e">
        <v>#REF!</v>
      </c>
      <c r="BC148" s="186" t="e">
        <v>#REF!</v>
      </c>
      <c r="BD148" s="48" t="e">
        <v>#REF!</v>
      </c>
      <c r="BE148" s="1" t="e">
        <f t="shared" si="16"/>
        <v>#REF!</v>
      </c>
      <c r="BF148" s="48" t="e">
        <v>#REF!</v>
      </c>
      <c r="BG148" s="48" t="e">
        <v>#REF!</v>
      </c>
    </row>
    <row r="149" spans="2:59" ht="27" thickBot="1">
      <c r="B149" s="80"/>
      <c r="D149" s="37"/>
      <c r="E149" s="44"/>
      <c r="F149" s="45"/>
      <c r="G149" s="45"/>
      <c r="H149" s="45"/>
      <c r="I149" s="45"/>
      <c r="J149" s="45"/>
      <c r="K149" s="45"/>
      <c r="L149" s="45"/>
      <c r="M149" s="45"/>
      <c r="N149" s="45"/>
      <c r="O149" s="45"/>
      <c r="P149" s="45"/>
      <c r="Q149" s="45"/>
      <c r="R149" s="32" t="s">
        <v>15</v>
      </c>
      <c r="S149" s="45"/>
      <c r="T149" s="45"/>
      <c r="U149" s="45"/>
      <c r="V149" s="46"/>
      <c r="W149" s="37"/>
      <c r="Y149" s="943"/>
      <c r="Z149" s="910"/>
      <c r="AC149" s="76"/>
      <c r="AI149" s="48">
        <f>IF(AI134=2,$B$521,0)</f>
        <v>0</v>
      </c>
      <c r="AL149" s="1">
        <v>15</v>
      </c>
      <c r="AN149" s="1" t="str">
        <f t="shared" si="17"/>
        <v/>
      </c>
      <c r="AO149" s="1" t="str">
        <f t="shared" si="18"/>
        <v xml:space="preserve"> ()</v>
      </c>
      <c r="AP149" s="200">
        <v>0</v>
      </c>
      <c r="AQ149" s="196" t="str">
        <f t="shared" si="19"/>
        <v/>
      </c>
      <c r="BB149" s="48" t="e">
        <v>#REF!</v>
      </c>
      <c r="BC149" s="186" t="e">
        <v>#REF!</v>
      </c>
      <c r="BD149" s="48" t="e">
        <v>#REF!</v>
      </c>
      <c r="BE149" s="1" t="e">
        <f t="shared" si="16"/>
        <v>#REF!</v>
      </c>
      <c r="BF149" s="52" t="e">
        <v>#REF!</v>
      </c>
      <c r="BG149" s="52" t="e">
        <v>#REF!</v>
      </c>
    </row>
    <row r="150" spans="2:59" ht="5.25" customHeight="1" thickBot="1">
      <c r="B150" s="80"/>
      <c r="D150" s="37"/>
      <c r="E150" s="44"/>
      <c r="F150" s="45"/>
      <c r="G150" s="45"/>
      <c r="H150" s="45"/>
      <c r="I150" s="45"/>
      <c r="J150" s="45"/>
      <c r="K150" s="45"/>
      <c r="L150" s="45"/>
      <c r="M150" s="45"/>
      <c r="N150" s="45"/>
      <c r="O150" s="45"/>
      <c r="P150" s="45"/>
      <c r="Q150" s="45"/>
      <c r="R150" s="32"/>
      <c r="S150" s="45"/>
      <c r="T150" s="45"/>
      <c r="U150" s="45"/>
      <c r="V150" s="46"/>
      <c r="W150" s="37"/>
      <c r="Y150" s="943"/>
      <c r="Z150" s="910"/>
      <c r="AA150" s="85"/>
      <c r="AC150" s="76"/>
      <c r="AI150" s="48">
        <f>IF(AI134=2,$B$522,0)</f>
        <v>0</v>
      </c>
      <c r="AL150" s="1">
        <v>16</v>
      </c>
      <c r="AO150" s="1" t="str">
        <f t="shared" si="18"/>
        <v xml:space="preserve"> ()</v>
      </c>
      <c r="AP150" s="200">
        <v>0</v>
      </c>
      <c r="AQ150" s="196" t="str">
        <f t="shared" si="19"/>
        <v/>
      </c>
      <c r="BB150" s="52" t="e">
        <v>#REF!</v>
      </c>
      <c r="BC150" s="187" t="e">
        <v>#REF!</v>
      </c>
      <c r="BD150" s="48" t="e">
        <v>#REF!</v>
      </c>
      <c r="BE150" s="1" t="e">
        <f t="shared" si="16"/>
        <v>#REF!</v>
      </c>
    </row>
    <row r="151" spans="2:59" ht="8.25" customHeight="1" thickBot="1">
      <c r="B151" s="80"/>
      <c r="D151" s="898">
        <f>IF(AG162=2,1,0)</f>
        <v>0</v>
      </c>
      <c r="E151" s="44"/>
      <c r="F151" s="45"/>
      <c r="G151" s="45"/>
      <c r="H151" s="45"/>
      <c r="I151" s="45"/>
      <c r="J151" s="45"/>
      <c r="K151" s="45"/>
      <c r="L151" s="45"/>
      <c r="M151" s="45"/>
      <c r="N151" s="45"/>
      <c r="O151" s="45"/>
      <c r="P151" s="45"/>
      <c r="Q151" s="45"/>
      <c r="R151" s="32"/>
      <c r="S151" s="45"/>
      <c r="T151" s="45"/>
      <c r="U151" s="45"/>
      <c r="V151" s="46"/>
      <c r="W151" s="898">
        <f>IF(AG162=1,1,0)</f>
        <v>0</v>
      </c>
      <c r="Y151" s="53"/>
      <c r="AC151" s="76"/>
      <c r="AI151" s="52">
        <f>IF(AI134=2,$B$523,0)</f>
        <v>0</v>
      </c>
      <c r="AL151" s="1">
        <v>17</v>
      </c>
      <c r="AO151" s="1" t="str">
        <f t="shared" si="18"/>
        <v xml:space="preserve"> ()</v>
      </c>
      <c r="AP151" s="200">
        <v>0</v>
      </c>
      <c r="AQ151" s="196" t="str">
        <f t="shared" si="19"/>
        <v/>
      </c>
      <c r="BC151"/>
      <c r="BD151" s="48" t="e">
        <v>#REF!</v>
      </c>
      <c r="BE151" s="1" t="e">
        <f t="shared" si="16"/>
        <v>#REF!</v>
      </c>
    </row>
    <row r="152" spans="2:59" ht="18" customHeight="1">
      <c r="B152" s="80"/>
      <c r="D152" s="898" t="e">
        <f>IF(#REF!=$Y$41,1,0)</f>
        <v>#REF!</v>
      </c>
      <c r="E152" s="44"/>
      <c r="F152" s="45"/>
      <c r="G152" s="108"/>
      <c r="H152" s="45"/>
      <c r="I152" s="36"/>
      <c r="J152" s="36"/>
      <c r="K152" s="36"/>
      <c r="L152" s="899"/>
      <c r="M152" s="900"/>
      <c r="N152" s="901"/>
      <c r="O152" s="45"/>
      <c r="P152" s="45"/>
      <c r="Q152" s="45"/>
      <c r="R152" s="32"/>
      <c r="S152" s="986"/>
      <c r="T152" s="54"/>
      <c r="U152" s="45"/>
      <c r="V152" s="33"/>
      <c r="W152" s="898" t="e">
        <f>IF(#REF!=$Y$41,1,0)</f>
        <v>#REF!</v>
      </c>
      <c r="Y152" s="55"/>
      <c r="AA152" s="870" t="str">
        <f>IF(OR(Y136&gt;2500,L160&gt;2500),MAX_ROZ_RAM,"")</f>
        <v/>
      </c>
      <c r="AB152" s="870"/>
      <c r="AC152" s="871"/>
      <c r="AI152" s="47">
        <f>IF(AI134=1,$B$530,IF(AI134=2,$B$531,0))</f>
        <v>0</v>
      </c>
      <c r="AL152" s="1">
        <v>18</v>
      </c>
      <c r="AO152" s="1" t="str">
        <f t="shared" si="18"/>
        <v xml:space="preserve"> ()</v>
      </c>
      <c r="AP152" s="200">
        <v>0</v>
      </c>
      <c r="AQ152" s="196" t="str">
        <f t="shared" si="19"/>
        <v/>
      </c>
      <c r="BC152"/>
      <c r="BD152" s="48" t="e">
        <v>#REF!</v>
      </c>
      <c r="BE152" s="1" t="e">
        <f t="shared" si="16"/>
        <v>#REF!</v>
      </c>
    </row>
    <row r="153" spans="2:59" ht="6" customHeight="1">
      <c r="B153" s="80"/>
      <c r="D153" s="902" t="str">
        <f>IF(D151=1,AC139,"")</f>
        <v/>
      </c>
      <c r="E153" s="44"/>
      <c r="F153" s="45"/>
      <c r="G153" s="56"/>
      <c r="H153" s="45"/>
      <c r="I153" s="36"/>
      <c r="J153" s="36"/>
      <c r="K153" s="36"/>
      <c r="L153" s="36"/>
      <c r="M153" s="56"/>
      <c r="N153" s="56"/>
      <c r="O153" s="45"/>
      <c r="P153" s="45"/>
      <c r="Q153" s="45"/>
      <c r="R153" s="32"/>
      <c r="S153" s="987"/>
      <c r="T153" s="54"/>
      <c r="U153" s="45"/>
      <c r="V153" s="33"/>
      <c r="W153" s="902" t="str">
        <f>IF(W151=1,AC139,"")</f>
        <v/>
      </c>
      <c r="Y153" s="55"/>
      <c r="AA153" s="870"/>
      <c r="AB153" s="870"/>
      <c r="AC153" s="871"/>
      <c r="AG153" s="1">
        <f>IF(AC144=$J$369,1,IF(AC144=$J$370,1,IF(AC144=$J$371,2,0)))</f>
        <v>0</v>
      </c>
      <c r="AI153" s="48">
        <f>IF(AI134=2,$B$532,0)</f>
        <v>0</v>
      </c>
      <c r="AL153" s="1">
        <v>19</v>
      </c>
      <c r="AO153" s="1" t="str">
        <f t="shared" si="18"/>
        <v xml:space="preserve"> ()</v>
      </c>
      <c r="AP153" s="200">
        <v>0</v>
      </c>
      <c r="AQ153" s="196" t="str">
        <f t="shared" si="19"/>
        <v/>
      </c>
      <c r="BC153"/>
      <c r="BD153" s="48" t="e">
        <v>#REF!</v>
      </c>
      <c r="BE153" s="1" t="e">
        <f t="shared" si="16"/>
        <v>#REF!</v>
      </c>
    </row>
    <row r="154" spans="2:59" ht="22.5" customHeight="1">
      <c r="B154" s="80"/>
      <c r="D154" s="902"/>
      <c r="E154" s="44"/>
      <c r="F154" s="45"/>
      <c r="G154" s="45"/>
      <c r="H154" s="45"/>
      <c r="I154" s="32" t="s">
        <v>15</v>
      </c>
      <c r="J154" s="36"/>
      <c r="K154" s="36"/>
      <c r="L154" s="36"/>
      <c r="M154" s="36"/>
      <c r="N154" s="36"/>
      <c r="O154" s="45"/>
      <c r="P154" s="32" t="s">
        <v>15</v>
      </c>
      <c r="Q154" s="36"/>
      <c r="R154" s="32"/>
      <c r="S154" s="988"/>
      <c r="T154" s="54"/>
      <c r="U154" s="32"/>
      <c r="V154" s="46"/>
      <c r="W154" s="902"/>
      <c r="Y154" s="55"/>
      <c r="AA154" s="870"/>
      <c r="AB154" s="870"/>
      <c r="AC154" s="871"/>
      <c r="AG154" s="1">
        <f>IF(AC143=0,0,VPRAVO)</f>
        <v>0</v>
      </c>
      <c r="AI154" s="48">
        <f>IF(AI134=2,$B$533,0)</f>
        <v>0</v>
      </c>
      <c r="AL154" s="1">
        <v>20</v>
      </c>
      <c r="AO154" s="1" t="str">
        <f t="shared" si="18"/>
        <v xml:space="preserve"> ()</v>
      </c>
      <c r="AP154" s="200">
        <v>0</v>
      </c>
      <c r="AQ154" s="196" t="str">
        <f t="shared" si="19"/>
        <v/>
      </c>
      <c r="BC154"/>
      <c r="BD154" s="48" t="e">
        <v>#REF!</v>
      </c>
      <c r="BE154" s="1" t="e">
        <f t="shared" si="16"/>
        <v>#REF!</v>
      </c>
    </row>
    <row r="155" spans="2:59" ht="27" thickBot="1">
      <c r="B155" s="80"/>
      <c r="D155" s="902"/>
      <c r="E155" s="44"/>
      <c r="F155" s="45"/>
      <c r="G155" s="45"/>
      <c r="H155" s="45"/>
      <c r="I155" s="36"/>
      <c r="J155" s="903"/>
      <c r="K155" s="36"/>
      <c r="L155" s="36"/>
      <c r="M155" s="36"/>
      <c r="N155" s="36"/>
      <c r="O155" s="45"/>
      <c r="P155" s="36"/>
      <c r="Q155" s="36"/>
      <c r="R155" s="45"/>
      <c r="S155" s="57"/>
      <c r="T155" s="57"/>
      <c r="U155" s="49"/>
      <c r="V155" s="46"/>
      <c r="W155" s="902"/>
      <c r="AA155" s="870" t="str">
        <f>IF(AC139=0,"",IF(AND(OR(AC131="Palio (elox.)",AC131="Siena (elox.)"),AC139&lt;80),MIN_POZ_ZAVES_80,IF(AC139&lt;70,MIN_POZ_ZAVES,"")))</f>
        <v/>
      </c>
      <c r="AB155" s="870"/>
      <c r="AC155" s="871"/>
      <c r="AG155" s="1">
        <f>IF(AC143=0,0,VLEVO)</f>
        <v>0</v>
      </c>
      <c r="AI155" s="52">
        <f>IF(AI134=2,$B$534,0)</f>
        <v>0</v>
      </c>
      <c r="AL155" s="1">
        <v>21</v>
      </c>
      <c r="AO155" s="1" t="str">
        <f t="shared" si="18"/>
        <v xml:space="preserve"> ()</v>
      </c>
      <c r="AP155" s="200">
        <v>0</v>
      </c>
      <c r="AQ155" s="196" t="str">
        <f t="shared" si="19"/>
        <v/>
      </c>
      <c r="BC155"/>
      <c r="BD155" s="48" t="e">
        <v>#REF!</v>
      </c>
      <c r="BE155" s="1" t="e">
        <f t="shared" si="16"/>
        <v>#REF!</v>
      </c>
    </row>
    <row r="156" spans="2:59" ht="26.25">
      <c r="B156" s="80"/>
      <c r="D156" s="902"/>
      <c r="E156" s="44"/>
      <c r="F156" s="45"/>
      <c r="G156" s="45"/>
      <c r="H156" s="45"/>
      <c r="I156" s="36"/>
      <c r="J156" s="904"/>
      <c r="K156" s="36"/>
      <c r="L156" s="36"/>
      <c r="M156" s="36"/>
      <c r="N156" s="36"/>
      <c r="O156" s="45"/>
      <c r="P156" s="36"/>
      <c r="Q156" s="36"/>
      <c r="R156" s="45"/>
      <c r="S156" s="58"/>
      <c r="T156" s="58"/>
      <c r="U156" s="49"/>
      <c r="V156" s="46"/>
      <c r="W156" s="902"/>
      <c r="AC156" s="76"/>
      <c r="AG156" s="1">
        <f>IF(AC143=0,0,OBE_STRANY)</f>
        <v>0</v>
      </c>
      <c r="AJ156" s="1">
        <f>IF(AC143=0,0,VLOOKUP(AC143,AI157:AJ170,2,0))</f>
        <v>0</v>
      </c>
      <c r="AL156" s="1">
        <v>22</v>
      </c>
      <c r="AO156" s="1" t="str">
        <f t="shared" si="18"/>
        <v xml:space="preserve"> ()</v>
      </c>
      <c r="AP156" s="200">
        <v>0</v>
      </c>
      <c r="AQ156" s="196" t="str">
        <f t="shared" si="19"/>
        <v/>
      </c>
      <c r="BD156" s="48" t="e">
        <v>#REF!</v>
      </c>
      <c r="BE156" s="1" t="e">
        <f t="shared" si="16"/>
        <v>#REF!</v>
      </c>
    </row>
    <row r="157" spans="2:59" ht="15.75" customHeight="1" thickBot="1">
      <c r="B157" s="80"/>
      <c r="D157" s="902"/>
      <c r="E157" s="59"/>
      <c r="F157" s="60"/>
      <c r="G157" s="60"/>
      <c r="H157" s="60"/>
      <c r="I157" s="35"/>
      <c r="J157" s="35"/>
      <c r="K157" s="35"/>
      <c r="L157" s="35"/>
      <c r="M157" s="35"/>
      <c r="N157" s="35"/>
      <c r="O157" s="60"/>
      <c r="P157" s="35"/>
      <c r="Q157" s="35"/>
      <c r="R157" s="60"/>
      <c r="S157" s="60"/>
      <c r="T157" s="60"/>
      <c r="U157" s="60"/>
      <c r="V157" s="61"/>
      <c r="W157" s="902"/>
      <c r="AC157" s="76"/>
      <c r="AH157" s="1">
        <f>IF(AA143=Ceny_n!$B$184,IF(AI134=1,Ceny!$F$919,IF(AI134=2,Ceny!$G$919,0)),0)</f>
        <v>0</v>
      </c>
      <c r="AI157" s="1">
        <f>IF(AG162=3,AH157,AH176)</f>
        <v>0</v>
      </c>
      <c r="AJ157" s="1">
        <f>IF(AC134=ZAVESY,Ceny!$E$948,0)</f>
        <v>0</v>
      </c>
      <c r="AL157" s="1">
        <v>22</v>
      </c>
      <c r="AO157" s="1" t="str">
        <f t="shared" si="18"/>
        <v xml:space="preserve"> ()</v>
      </c>
      <c r="AP157" s="200">
        <v>0</v>
      </c>
      <c r="AQ157" s="196" t="str">
        <f t="shared" si="19"/>
        <v/>
      </c>
      <c r="AS157" s="1" t="e">
        <f>VLOOKUP(AL157,Ceny!$B$963:$E$970,4,0)</f>
        <v>#N/A</v>
      </c>
      <c r="AY157" s="1" t="e">
        <f t="shared" ref="AY157:AY171" si="21">AJ157+AS157+AT157+AU157+AW157</f>
        <v>#N/A</v>
      </c>
      <c r="BD157" s="48" t="e">
        <v>#REF!</v>
      </c>
      <c r="BE157" s="1" t="e">
        <f t="shared" si="16"/>
        <v>#REF!</v>
      </c>
    </row>
    <row r="158" spans="2:59" ht="19.5" thickBot="1">
      <c r="B158" s="80"/>
      <c r="D158" s="905" t="str">
        <f>IF(H158=1,AC139,"")</f>
        <v/>
      </c>
      <c r="E158" s="906"/>
      <c r="F158" s="906"/>
      <c r="G158" s="906"/>
      <c r="H158" s="39">
        <f>IF(AG162=4,1,0)</f>
        <v>0</v>
      </c>
      <c r="I158" s="39"/>
      <c r="J158" s="39"/>
      <c r="K158" s="39" t="b">
        <f>IF(AG162=4,IF(AC138=4,1,0))</f>
        <v>0</v>
      </c>
      <c r="L158" s="39"/>
      <c r="M158" s="39" t="b">
        <f>IF(AG162=4,IF(AC138=3,1,0))</f>
        <v>0</v>
      </c>
      <c r="N158" s="39"/>
      <c r="O158" s="39" t="b">
        <f>IF(AG162=4,IF(AC138=4,1,0))</f>
        <v>0</v>
      </c>
      <c r="P158" s="39"/>
      <c r="Q158" s="39"/>
      <c r="R158" s="39">
        <f>IF(AG162=4,1,0)</f>
        <v>0</v>
      </c>
      <c r="S158" s="929" t="str">
        <f>IF(R158=1,AC139,"")</f>
        <v/>
      </c>
      <c r="T158" s="929"/>
      <c r="U158" s="929"/>
      <c r="V158" s="929"/>
      <c r="W158" s="930"/>
      <c r="Y158" s="40"/>
      <c r="Z158" s="157" t="str">
        <f>IF(OR(AC131=Ceny_n!$B$18,AC131=Ceny_n!$B$19,AC131=Ceny_n!$B$20),Ceny!$B$498,"")</f>
        <v/>
      </c>
      <c r="AC158" s="76"/>
      <c r="AG158" s="1">
        <f>IF(AC134=ZAVESY,VPRAVO,0)</f>
        <v>0</v>
      </c>
      <c r="AH158" s="1">
        <f>IF(AA143=Ceny_n!$B$184,IF(AI134=1,Ceny!$F$920,IF(AI134=2,Ceny!$G$920,0)),0)</f>
        <v>0</v>
      </c>
      <c r="AI158" s="1">
        <f>IF(AG162=3,AH158,AH177)</f>
        <v>0</v>
      </c>
      <c r="AJ158" s="1">
        <f>IF(AC134=ZAVESY,Ceny!$E$949,0)</f>
        <v>0</v>
      </c>
      <c r="AL158" s="1">
        <v>22</v>
      </c>
      <c r="AO158" s="1" t="str">
        <f t="shared" si="18"/>
        <v xml:space="preserve"> ()</v>
      </c>
      <c r="AP158" s="200">
        <v>0</v>
      </c>
      <c r="AQ158" s="196" t="str">
        <f t="shared" si="19"/>
        <v/>
      </c>
      <c r="AS158" s="1" t="e">
        <f>VLOOKUP(AL158,Ceny!$B$963:$E$970,4,0)</f>
        <v>#N/A</v>
      </c>
      <c r="AY158" s="1" t="e">
        <f t="shared" si="21"/>
        <v>#N/A</v>
      </c>
      <c r="BD158" s="48" t="e">
        <v>#REF!</v>
      </c>
      <c r="BE158" s="1" t="e">
        <f t="shared" si="16"/>
        <v>#REF!</v>
      </c>
    </row>
    <row r="159" spans="2:59" ht="6" customHeight="1">
      <c r="B159" s="80"/>
      <c r="AC159" s="76"/>
      <c r="AG159" s="1">
        <f>IF(AC134=ZAVESY,VLEVO,0)</f>
        <v>0</v>
      </c>
      <c r="AH159" s="1">
        <f>IF(AA143=Ceny_n!$B$184,IF(AI134=1,Ceny!$F$921,IF(AI134=2,Ceny!$G$921,0)),0)</f>
        <v>0</v>
      </c>
      <c r="AI159" s="1">
        <f>IF(AG162=3,AH159,AH178)</f>
        <v>0</v>
      </c>
      <c r="AJ159" s="1">
        <f>IF(AC134=ZAVESY,Ceny!$E$950,0)</f>
        <v>0</v>
      </c>
      <c r="AL159" s="1">
        <v>22</v>
      </c>
      <c r="AO159" s="1" t="str">
        <f t="shared" si="18"/>
        <v xml:space="preserve"> ()</v>
      </c>
      <c r="AP159" s="200">
        <v>0</v>
      </c>
      <c r="AQ159" s="196" t="str">
        <f t="shared" si="19"/>
        <v/>
      </c>
      <c r="AS159" s="1" t="e">
        <f>VLOOKUP(AL159,Ceny!$B$963:$E$970,4,0)</f>
        <v>#N/A</v>
      </c>
      <c r="AY159" s="1" t="e">
        <f t="shared" si="21"/>
        <v>#N/A</v>
      </c>
      <c r="BD159" s="48" t="e">
        <v>#REF!</v>
      </c>
      <c r="BE159" s="1" t="e">
        <f t="shared" si="16"/>
        <v>#REF!</v>
      </c>
    </row>
    <row r="160" spans="2:59" ht="20.25" customHeight="1" thickBot="1">
      <c r="B160" s="80"/>
      <c r="D160" s="40"/>
      <c r="E160" s="40"/>
      <c r="F160" s="40"/>
      <c r="G160" s="40"/>
      <c r="I160" s="884" t="str">
        <f>Ceny_n!$B$135</f>
        <v xml:space="preserve">Šířka </v>
      </c>
      <c r="J160" s="885"/>
      <c r="K160" s="885"/>
      <c r="L160" s="886"/>
      <c r="M160" s="886"/>
      <c r="N160" s="886"/>
      <c r="O160" s="886"/>
      <c r="P160" s="886"/>
      <c r="Q160" s="887"/>
      <c r="R160" s="40"/>
      <c r="S160" s="40"/>
      <c r="T160" s="40"/>
      <c r="U160" s="40"/>
      <c r="V160" s="40"/>
      <c r="W160" s="40"/>
      <c r="Z160" s="157" t="str">
        <f>IF(L160&gt;1500,Ceny!$B$290,IF(Y136&gt;1500,Ceny!$B$290,""))</f>
        <v/>
      </c>
      <c r="AC160" s="76"/>
      <c r="AG160" s="1">
        <f>IF(AC134=ZAVESY,NAHORE,0)</f>
        <v>0</v>
      </c>
      <c r="AH160" s="1">
        <f>IF(AA143=Ceny_n!$B$184,IF(AI134=1,Ceny!$F$922,IF(AI134=2,Ceny!$G$922,0)),0)</f>
        <v>0</v>
      </c>
      <c r="AI160" s="1">
        <f>IF(AG162=3,AH160,AH179)</f>
        <v>0</v>
      </c>
      <c r="AJ160" s="1">
        <f>IF(AC134=ZAVESY,Ceny!$E$951,0)</f>
        <v>0</v>
      </c>
      <c r="AL160" s="1">
        <v>22</v>
      </c>
      <c r="AO160" s="1" t="str">
        <f t="shared" si="18"/>
        <v xml:space="preserve"> ()</v>
      </c>
      <c r="AP160" s="201">
        <v>0</v>
      </c>
      <c r="AQ160" s="198" t="str">
        <f t="shared" si="19"/>
        <v/>
      </c>
      <c r="AS160" s="1" t="e">
        <f>VLOOKUP(AL160,Ceny!$B$963:$E$970,4,0)</f>
        <v>#N/A</v>
      </c>
      <c r="AY160" s="1" t="e">
        <f t="shared" si="21"/>
        <v>#N/A</v>
      </c>
      <c r="BD160" s="48" t="e">
        <v>#REF!</v>
      </c>
      <c r="BE160" s="1" t="e">
        <f t="shared" si="16"/>
        <v>#REF!</v>
      </c>
    </row>
    <row r="161" spans="2:57" ht="17.25" customHeight="1">
      <c r="B161" s="80"/>
      <c r="D161" s="40"/>
      <c r="E161" s="40"/>
      <c r="F161" s="40"/>
      <c r="G161" s="40"/>
      <c r="H161" s="62"/>
      <c r="I161" s="62"/>
      <c r="J161" s="62"/>
      <c r="K161" s="63"/>
      <c r="L161" s="63"/>
      <c r="M161" s="64"/>
      <c r="N161" s="64"/>
      <c r="O161" s="64"/>
      <c r="P161" s="64"/>
      <c r="Q161" s="64"/>
      <c r="R161" s="40"/>
      <c r="S161" s="40"/>
      <c r="T161" s="40"/>
      <c r="U161" s="40"/>
      <c r="V161" s="40"/>
      <c r="W161" s="40"/>
      <c r="Z161" s="888" t="str">
        <f>Ceny_n!$B$138</f>
        <v>Cena rámečků celkem</v>
      </c>
      <c r="AA161" s="889"/>
      <c r="AB161" s="889"/>
      <c r="AC161" s="919">
        <f>IF(AC131=$B$347,0,(AI131+AM131+AN131+AS131)-((AI131+AM131+AN131+AS131)*$AC$14))</f>
        <v>0</v>
      </c>
      <c r="AD161" s="223"/>
      <c r="AE161" s="174"/>
      <c r="AG161" s="1">
        <f>IF(AC134=ZAVESY,DOLE,0)</f>
        <v>0</v>
      </c>
      <c r="AH161" s="1">
        <f>IF(AA143=Ceny_n!$B$184,IF(AI134=1,Ceny!$F$923,IF(AI134=2,Ceny!$G$923,0)),0)</f>
        <v>0</v>
      </c>
      <c r="AI161" s="1">
        <f>IF(AG162=3,AH161,AH180)</f>
        <v>0</v>
      </c>
      <c r="AJ161" s="1">
        <f>IF(AC134=ZAVESY,Ceny!$E$952,0)</f>
        <v>0</v>
      </c>
      <c r="AL161" s="1">
        <f>IF(AI134=1,Ceny!$B$964,0)</f>
        <v>0</v>
      </c>
      <c r="AM161" s="1">
        <v>0</v>
      </c>
      <c r="AN161" s="1">
        <v>0</v>
      </c>
      <c r="AP161" s="1">
        <v>0</v>
      </c>
      <c r="AS161" s="1">
        <f>VLOOKUP(AL161,Ceny!$B$963:$E$970,4,0)</f>
        <v>0</v>
      </c>
      <c r="AY161" s="1">
        <f t="shared" si="21"/>
        <v>0</v>
      </c>
      <c r="BD161" s="48" t="e">
        <v>#REF!</v>
      </c>
      <c r="BE161" s="1" t="e">
        <f t="shared" si="16"/>
        <v>#REF!</v>
      </c>
    </row>
    <row r="162" spans="2:57" ht="17.25" customHeight="1">
      <c r="B162" s="80"/>
      <c r="D162" s="40"/>
      <c r="E162" s="40"/>
      <c r="F162" s="40"/>
      <c r="G162" s="40"/>
      <c r="H162" s="62"/>
      <c r="I162" s="62"/>
      <c r="J162" s="62"/>
      <c r="K162" s="63"/>
      <c r="L162" s="63"/>
      <c r="M162" s="64"/>
      <c r="N162" s="64"/>
      <c r="O162" s="64"/>
      <c r="P162" s="64"/>
      <c r="Q162" s="64"/>
      <c r="R162" s="40"/>
      <c r="S162" s="40"/>
      <c r="T162" s="40"/>
      <c r="U162" s="40"/>
      <c r="V162" s="40"/>
      <c r="W162" s="40"/>
      <c r="Z162" s="890"/>
      <c r="AA162" s="891"/>
      <c r="AB162" s="891"/>
      <c r="AC162" s="920"/>
      <c r="AD162" s="223"/>
      <c r="AE162" s="174"/>
      <c r="AG162" s="1">
        <f>IF(AC142=VPRAVO,1,IF('Běžné rámečky'!AC142=VLEVO,2,IF('Běžné rámečky'!AC142=NAHORE,3,IF('Běžné rámečky'!AC142=DOLE,4,0))))</f>
        <v>0</v>
      </c>
      <c r="AH162" s="1">
        <f>IF(AA143=Ceny_n!$B$184,IF(AI134=1,Ceny!$F$924,IF(AI134=2,Ceny!$G$924,0)),0)</f>
        <v>0</v>
      </c>
      <c r="AI162" s="1" t="str">
        <f>IF(AG162=3,AH162,AH181)</f>
        <v xml:space="preserve"> </v>
      </c>
      <c r="AJ162" s="1">
        <f>IF(AC134=ZAVESY,Ceny!$E$953,0)</f>
        <v>0</v>
      </c>
      <c r="AL162">
        <f>Ceny_n!$B$965</f>
        <v>15585</v>
      </c>
      <c r="AM162" s="1">
        <v>0</v>
      </c>
      <c r="AN162" s="1">
        <v>0</v>
      </c>
      <c r="AP162" s="1">
        <v>0</v>
      </c>
      <c r="AS162" s="1">
        <f>VLOOKUP(AL162,Ceny!$B$963:$E$970,4,0)</f>
        <v>3.1249699999999998</v>
      </c>
      <c r="AY162" s="1">
        <f t="shared" si="21"/>
        <v>3.1249699999999998</v>
      </c>
      <c r="BD162" s="48" t="e">
        <v>#REF!</v>
      </c>
      <c r="BE162" s="1" t="e">
        <f t="shared" si="16"/>
        <v>#REF!</v>
      </c>
    </row>
    <row r="163" spans="2:57" ht="13.5" customHeight="1">
      <c r="B163" s="80"/>
      <c r="D163" s="40"/>
      <c r="E163" s="40"/>
      <c r="F163" s="40"/>
      <c r="G163" s="40"/>
      <c r="H163" s="62"/>
      <c r="I163" s="62"/>
      <c r="J163" s="62"/>
      <c r="K163" s="63"/>
      <c r="L163" s="63"/>
      <c r="M163" s="64"/>
      <c r="N163" s="64"/>
      <c r="O163" s="64"/>
      <c r="P163" s="64"/>
      <c r="Q163" s="64"/>
      <c r="R163" s="40"/>
      <c r="S163" s="40"/>
      <c r="T163" s="40"/>
      <c r="U163" s="40"/>
      <c r="V163" s="40"/>
      <c r="W163" s="40"/>
      <c r="Z163" s="874" t="str">
        <f>Ceny_n!$B$140</f>
        <v>Cena za kompletní objednávku</v>
      </c>
      <c r="AA163" s="875"/>
      <c r="AB163" s="875"/>
      <c r="AC163" s="878">
        <f>SUM($AC$53,$AC$107,$AC$161,$AC$215,$AC$269,$AC$323)</f>
        <v>0</v>
      </c>
      <c r="AD163" s="223"/>
      <c r="AE163" s="174"/>
      <c r="AH163" s="1">
        <f>IF(AA143=Ceny_n!$B$184,IF(AI134=1,Ceny!$F$925,IF(AI134=2,Ceny!$G$925,0)),0)</f>
        <v>0</v>
      </c>
      <c r="AI163" s="1" t="str">
        <f>IF(AG162=3,AH163,AH181)</f>
        <v xml:space="preserve"> </v>
      </c>
      <c r="AJ163" s="1">
        <f>IF(AC134=ZAVESY,Ceny!$E$954,0)</f>
        <v>0</v>
      </c>
      <c r="AL163">
        <f>Ceny_n!$B$965</f>
        <v>15585</v>
      </c>
      <c r="AM163" s="1">
        <v>0</v>
      </c>
      <c r="AN163" s="1">
        <v>0</v>
      </c>
      <c r="AP163" s="1">
        <v>0</v>
      </c>
      <c r="AS163" s="1">
        <f>VLOOKUP(AL163,Ceny!$B$963:$E$970,4,0)</f>
        <v>3.1249699999999998</v>
      </c>
      <c r="AY163" s="1">
        <f t="shared" si="21"/>
        <v>3.1249699999999998</v>
      </c>
      <c r="BD163" s="48" t="e">
        <v>#REF!</v>
      </c>
      <c r="BE163" s="1" t="e">
        <f t="shared" si="16"/>
        <v>#REF!</v>
      </c>
    </row>
    <row r="164" spans="2:57" ht="17.25" customHeight="1">
      <c r="B164" s="80"/>
      <c r="D164" s="40"/>
      <c r="E164" s="40"/>
      <c r="F164" s="40"/>
      <c r="G164" s="40"/>
      <c r="H164" s="62"/>
      <c r="I164" s="62"/>
      <c r="J164" s="62"/>
      <c r="K164" s="63"/>
      <c r="L164" s="63"/>
      <c r="M164" s="64"/>
      <c r="N164" s="64"/>
      <c r="O164" s="64"/>
      <c r="P164" s="64"/>
      <c r="Q164" s="64"/>
      <c r="R164" s="40"/>
      <c r="S164" s="40"/>
      <c r="T164" s="40"/>
      <c r="U164" s="40"/>
      <c r="V164" s="40"/>
      <c r="W164" s="40"/>
      <c r="Z164" s="876"/>
      <c r="AA164" s="877"/>
      <c r="AB164" s="877"/>
      <c r="AC164" s="879"/>
      <c r="AD164" s="224"/>
      <c r="AE164" s="175"/>
      <c r="AH164" s="1">
        <f>IF(AA143=Ceny_n!$B$184,IF(AI134=1,Ceny!$F$926,IF(AI134=2,Ceny!$G$926,0)),0)</f>
        <v>0</v>
      </c>
      <c r="AI164" s="1" t="str">
        <f>IF(AG162=3,AH164,AH181)</f>
        <v xml:space="preserve"> </v>
      </c>
      <c r="AJ164" s="1">
        <f>IF(AC134=ZAVESY,Ceny!$E$955,0)</f>
        <v>0</v>
      </c>
      <c r="AL164">
        <f>Ceny_n!$B$965</f>
        <v>15585</v>
      </c>
      <c r="AM164" s="1">
        <v>0</v>
      </c>
      <c r="AN164" s="1">
        <v>0</v>
      </c>
      <c r="AP164" s="1">
        <v>0</v>
      </c>
      <c r="AS164" s="1">
        <f>VLOOKUP(AL164,Ceny!$B$963:$E$970,4,0)</f>
        <v>3.1249699999999998</v>
      </c>
      <c r="AY164" s="1">
        <f t="shared" si="21"/>
        <v>3.1249699999999998</v>
      </c>
      <c r="BD164" s="48" t="e">
        <v>#REF!</v>
      </c>
      <c r="BE164" s="1" t="e">
        <f t="shared" si="16"/>
        <v>#REF!</v>
      </c>
    </row>
    <row r="165" spans="2:57" ht="7.5" customHeight="1">
      <c r="B165" s="80"/>
      <c r="D165" s="40"/>
      <c r="E165" s="40"/>
      <c r="F165" s="40"/>
      <c r="G165" s="40"/>
      <c r="H165" s="62"/>
      <c r="I165" s="62"/>
      <c r="J165" s="62"/>
      <c r="K165" s="63"/>
      <c r="L165" s="63"/>
      <c r="M165" s="64"/>
      <c r="N165" s="64"/>
      <c r="O165" s="64"/>
      <c r="P165" s="64"/>
      <c r="Q165" s="64"/>
      <c r="R165" s="40"/>
      <c r="S165" s="40"/>
      <c r="T165" s="40"/>
      <c r="U165" s="40"/>
      <c r="V165" s="40"/>
      <c r="W165" s="40"/>
      <c r="Z165" s="880" t="str">
        <f>Ceny_n!$B$131</f>
        <v>Uvedené ceny jsou bez DPH a nezahrnují cenu požadovaného kování!</v>
      </c>
      <c r="AA165" s="880"/>
      <c r="AB165" s="880"/>
      <c r="AC165" s="881"/>
      <c r="AH165" s="1">
        <f>IF(AA143=Ceny_n!$B$184,IF(AI134=1,Ceny!$F$927,IF(AI134=2,Ceny!$G$927,0)),0)</f>
        <v>0</v>
      </c>
      <c r="AI165" s="1" t="str">
        <f>IF(AG162=3,AH165,AH181)</f>
        <v xml:space="preserve"> </v>
      </c>
      <c r="AJ165" s="1">
        <f>IF(AC134=ZAVESY,Ceny!$E$956,0)</f>
        <v>0</v>
      </c>
      <c r="AL165">
        <f>Ceny_n!$B$965</f>
        <v>15585</v>
      </c>
      <c r="AM165" s="1">
        <v>0</v>
      </c>
      <c r="AN165" s="1">
        <v>0</v>
      </c>
      <c r="AP165" s="1">
        <v>0</v>
      </c>
      <c r="AS165" s="1">
        <f>VLOOKUP(AL165,Ceny!$B$963:$E$970,4,0)</f>
        <v>3.1249699999999998</v>
      </c>
      <c r="AY165" s="1">
        <f t="shared" si="21"/>
        <v>3.1249699999999998</v>
      </c>
      <c r="BD165" s="48" t="e">
        <v>#REF!</v>
      </c>
      <c r="BE165" s="1" t="e">
        <f t="shared" si="16"/>
        <v>#REF!</v>
      </c>
    </row>
    <row r="166" spans="2:57" ht="7.5" customHeight="1">
      <c r="B166" s="81"/>
      <c r="C166" s="82"/>
      <c r="D166" s="82"/>
      <c r="E166" s="82"/>
      <c r="F166" s="82"/>
      <c r="G166" s="82"/>
      <c r="H166" s="82"/>
      <c r="I166" s="83"/>
      <c r="J166" s="83"/>
      <c r="K166" s="83"/>
      <c r="L166" s="83"/>
      <c r="M166" s="83"/>
      <c r="N166" s="83"/>
      <c r="O166" s="82"/>
      <c r="P166" s="82"/>
      <c r="Q166" s="82"/>
      <c r="R166" s="82"/>
      <c r="S166" s="82"/>
      <c r="T166" s="82"/>
      <c r="U166" s="82"/>
      <c r="V166" s="82"/>
      <c r="W166" s="82"/>
      <c r="X166" s="82"/>
      <c r="Y166" s="82"/>
      <c r="Z166" s="882"/>
      <c r="AA166" s="882"/>
      <c r="AB166" s="882"/>
      <c r="AC166" s="883"/>
      <c r="AH166" s="1">
        <f>IF(AA143=Ceny_n!$B$184,IF(AI134=1,Ceny!$F$928,IF(AI134=2,Ceny!$G$928,0)),0)</f>
        <v>0</v>
      </c>
      <c r="AI166" s="1" t="str">
        <f>IF(AG162=3,AH166,AH181)</f>
        <v xml:space="preserve"> </v>
      </c>
      <c r="AJ166" s="1">
        <f>IF(AC134=ZAVESY,Ceny!$E$957,0)</f>
        <v>0</v>
      </c>
      <c r="AL166">
        <f>Ceny_n!$B$965</f>
        <v>15585</v>
      </c>
      <c r="AM166" s="1">
        <v>0</v>
      </c>
      <c r="AN166" s="1">
        <v>0</v>
      </c>
      <c r="AP166" s="1">
        <v>0</v>
      </c>
      <c r="AS166" s="1">
        <f>VLOOKUP(AL166,Ceny!$B$963:$E$970,4,0)</f>
        <v>3.1249699999999998</v>
      </c>
      <c r="AY166" s="1">
        <f t="shared" si="21"/>
        <v>3.1249699999999998</v>
      </c>
      <c r="BD166" s="48" t="e">
        <v>#REF!</v>
      </c>
      <c r="BE166" s="1" t="e">
        <f t="shared" si="16"/>
        <v>#REF!</v>
      </c>
    </row>
    <row r="167" spans="2:57" ht="7.35" customHeight="1">
      <c r="B167" s="892" t="str">
        <f>Ceny_n!$B$137</f>
        <v>Poznámky</v>
      </c>
      <c r="C167" s="893"/>
      <c r="D167" s="893"/>
      <c r="E167" s="893"/>
      <c r="F167" s="893"/>
      <c r="G167" s="911"/>
      <c r="H167" s="911"/>
      <c r="I167" s="911"/>
      <c r="J167" s="911"/>
      <c r="K167" s="911"/>
      <c r="L167" s="911"/>
      <c r="M167" s="911"/>
      <c r="N167" s="911"/>
      <c r="O167" s="911"/>
      <c r="P167" s="911"/>
      <c r="Q167" s="911"/>
      <c r="R167" s="911"/>
      <c r="S167" s="911"/>
      <c r="T167" s="911"/>
      <c r="U167" s="911"/>
      <c r="V167" s="911"/>
      <c r="W167" s="911"/>
      <c r="X167" s="911"/>
      <c r="Y167" s="911"/>
      <c r="Z167" s="911"/>
      <c r="AA167" s="911"/>
      <c r="AB167" s="911"/>
      <c r="AC167" s="912"/>
      <c r="AD167" s="225"/>
      <c r="AE167" s="176"/>
      <c r="AH167" s="1">
        <f>IF(AA143=Ceny_n!$B$184,IF(AI134=1,Ceny!$F$929,IF(AI134=2,Ceny!$G$929,0)),0)</f>
        <v>0</v>
      </c>
      <c r="AI167" s="1" t="str">
        <f>IF(AG162=3,AH167,AH181)</f>
        <v xml:space="preserve"> </v>
      </c>
      <c r="AJ167" s="1">
        <f>IF(AC134=ZAVESY,Ceny!$E$958,0)</f>
        <v>0</v>
      </c>
      <c r="AL167" s="1">
        <f>Ceny_n!$B$968</f>
        <v>15596</v>
      </c>
      <c r="AM167" s="1">
        <f>Ceny_n!$B$967</f>
        <v>15595</v>
      </c>
      <c r="AN167" s="65">
        <f>IF(AI134=1,Ceny!$B$967,0)</f>
        <v>0</v>
      </c>
      <c r="AO167" s="65"/>
      <c r="AP167" s="65">
        <f>IF(AI134=1,Ceny!$B$968,0)</f>
        <v>0</v>
      </c>
      <c r="AQ167" s="65"/>
      <c r="AR167" s="65">
        <f>IF(AI134=1,Ceny!$B$969,0)</f>
        <v>0</v>
      </c>
      <c r="AS167" s="1">
        <f>VLOOKUP(AL167,Ceny!$B$963:$E$970,4,0)</f>
        <v>11.9</v>
      </c>
      <c r="AT167" s="1">
        <f>VLOOKUP(AM167,Ceny!$B$963:$E$970,4,0)</f>
        <v>13.4</v>
      </c>
      <c r="AU167" s="1">
        <f>VLOOKUP(AN167,Ceny!$B$963:$E$970,4,0)</f>
        <v>0</v>
      </c>
      <c r="AW167" s="1">
        <f>2*(VLOOKUP(AP167,Ceny!$B$963:$E$970,4,0))</f>
        <v>0</v>
      </c>
      <c r="AX167" s="1">
        <f>2*(VLOOKUP(AR167,Ceny!$B$963:$E$970,4,0))</f>
        <v>0</v>
      </c>
      <c r="AY167" s="1">
        <f t="shared" si="21"/>
        <v>25.3</v>
      </c>
      <c r="BD167" s="48" t="e">
        <v>#REF!</v>
      </c>
      <c r="BE167" s="1" t="e">
        <f t="shared" si="16"/>
        <v>#REF!</v>
      </c>
    </row>
    <row r="168" spans="2:57" ht="7.35" customHeight="1">
      <c r="B168" s="894"/>
      <c r="C168" s="895"/>
      <c r="D168" s="895"/>
      <c r="E168" s="895"/>
      <c r="F168" s="895"/>
      <c r="G168" s="913"/>
      <c r="H168" s="913"/>
      <c r="I168" s="913"/>
      <c r="J168" s="913"/>
      <c r="K168" s="913"/>
      <c r="L168" s="913"/>
      <c r="M168" s="913"/>
      <c r="N168" s="913"/>
      <c r="O168" s="913"/>
      <c r="P168" s="913"/>
      <c r="Q168" s="913"/>
      <c r="R168" s="913"/>
      <c r="S168" s="913"/>
      <c r="T168" s="913"/>
      <c r="U168" s="913"/>
      <c r="V168" s="913"/>
      <c r="W168" s="913"/>
      <c r="X168" s="913"/>
      <c r="Y168" s="913"/>
      <c r="Z168" s="913"/>
      <c r="AA168" s="913"/>
      <c r="AB168" s="913"/>
      <c r="AC168" s="914"/>
      <c r="AD168" s="225"/>
      <c r="AE168" s="176"/>
      <c r="AH168" s="1">
        <f>IF(AA143=Ceny_n!$B$184,IF(AI134=1,Ceny!$F$930,IF(AI134=2,Ceny!$G$930,0)),0)</f>
        <v>0</v>
      </c>
      <c r="AI168" s="1" t="str">
        <f>IF(AG162=3,AH168,AH181)</f>
        <v xml:space="preserve"> </v>
      </c>
      <c r="AJ168" s="1">
        <f>IF(AC134=ZAVESY,Ceny!$E$959,0)</f>
        <v>0</v>
      </c>
      <c r="AL168" s="1">
        <f>Ceny_n!$B$968</f>
        <v>15596</v>
      </c>
      <c r="AM168" s="1">
        <f>Ceny_n!$B$967</f>
        <v>15595</v>
      </c>
      <c r="AN168" s="65">
        <f>IF(AI134=1,Ceny!$B$967,0)</f>
        <v>0</v>
      </c>
      <c r="AO168" s="65"/>
      <c r="AP168" s="65">
        <f>IF(AI134=1,Ceny!$B$968,0)</f>
        <v>0</v>
      </c>
      <c r="AQ168" s="65"/>
      <c r="AR168" s="65">
        <f>IF(AI134=1,Ceny!$B$969,0)</f>
        <v>0</v>
      </c>
      <c r="AS168" s="1">
        <f>VLOOKUP(AL168,Ceny!$B$963:$E$970,4,0)</f>
        <v>11.9</v>
      </c>
      <c r="AT168" s="1">
        <f>VLOOKUP(AM168,Ceny!$B$963:$E$970,4,0)</f>
        <v>13.4</v>
      </c>
      <c r="AU168" s="1">
        <f>VLOOKUP(AN168,Ceny!$B$963:$E$970,4,0)</f>
        <v>0</v>
      </c>
      <c r="AW168" s="1">
        <f>2*(VLOOKUP(AP168,Ceny!$B$963:$E$970,4,0))</f>
        <v>0</v>
      </c>
      <c r="AX168" s="1">
        <f>2*(VLOOKUP(AR168,Ceny!$B$963:$E$970,4,0))</f>
        <v>0</v>
      </c>
      <c r="AY168" s="1">
        <f t="shared" si="21"/>
        <v>25.3</v>
      </c>
      <c r="BD168" s="48" t="e">
        <v>#REF!</v>
      </c>
      <c r="BE168" s="1" t="e">
        <f t="shared" si="16"/>
        <v>#REF!</v>
      </c>
    </row>
    <row r="169" spans="2:57" ht="7.35" customHeight="1">
      <c r="B169" s="894"/>
      <c r="C169" s="895"/>
      <c r="D169" s="895"/>
      <c r="E169" s="895"/>
      <c r="F169" s="895"/>
      <c r="G169" s="913"/>
      <c r="H169" s="913"/>
      <c r="I169" s="913"/>
      <c r="J169" s="913"/>
      <c r="K169" s="913"/>
      <c r="L169" s="913"/>
      <c r="M169" s="913"/>
      <c r="N169" s="913"/>
      <c r="O169" s="913"/>
      <c r="P169" s="913"/>
      <c r="Q169" s="913"/>
      <c r="R169" s="913"/>
      <c r="S169" s="913"/>
      <c r="T169" s="913"/>
      <c r="U169" s="913"/>
      <c r="V169" s="913"/>
      <c r="W169" s="913"/>
      <c r="X169" s="913"/>
      <c r="Y169" s="913"/>
      <c r="Z169" s="913"/>
      <c r="AA169" s="913"/>
      <c r="AB169" s="913"/>
      <c r="AC169" s="914"/>
      <c r="AD169" s="225"/>
      <c r="AE169" s="176"/>
      <c r="AH169" s="1">
        <f>IF(AA143=Ceny_n!$B$184,IF(AI134=1,Ceny!$F$931,IF(AI134=2,Ceny!$G$931,0)),0)</f>
        <v>0</v>
      </c>
      <c r="AI169" s="1" t="str">
        <f>IF(AG162=3,AH169,AH181)</f>
        <v xml:space="preserve"> </v>
      </c>
      <c r="AJ169" s="1">
        <f>IF(AC134=ZAVESY,Ceny!$E$960,0)</f>
        <v>0</v>
      </c>
      <c r="AL169" s="1">
        <f>Ceny_n!$B$968</f>
        <v>15596</v>
      </c>
      <c r="AM169" s="1">
        <f>Ceny_n!$B$967</f>
        <v>15595</v>
      </c>
      <c r="AN169" s="65">
        <f>IF(AI134=1,Ceny!$B$967,0)</f>
        <v>0</v>
      </c>
      <c r="AO169" s="65"/>
      <c r="AP169" s="65">
        <f>IF(AI134=1,Ceny!$B$968,0)</f>
        <v>0</v>
      </c>
      <c r="AQ169" s="65"/>
      <c r="AR169" s="65">
        <f>IF(AI134=1,Ceny!$B$969,0)</f>
        <v>0</v>
      </c>
      <c r="AS169" s="1">
        <f>VLOOKUP(AL169,Ceny!$B$963:$E$970,4,0)</f>
        <v>11.9</v>
      </c>
      <c r="AT169" s="1">
        <f>VLOOKUP(AM169,Ceny!$B$963:$E$970,4,0)</f>
        <v>13.4</v>
      </c>
      <c r="AU169" s="1">
        <f>VLOOKUP(AN169,Ceny!$B$963:$E$970,4,0)</f>
        <v>0</v>
      </c>
      <c r="AW169" s="1">
        <f>2*(VLOOKUP(AP169,Ceny!$B$963:$E$970,4,0))</f>
        <v>0</v>
      </c>
      <c r="AX169" s="1">
        <f>2*(VLOOKUP(AR169,Ceny!$B$963:$E$970,4,0))</f>
        <v>0</v>
      </c>
      <c r="AY169" s="1">
        <f t="shared" si="21"/>
        <v>25.3</v>
      </c>
      <c r="BD169" s="48" t="e">
        <v>#REF!</v>
      </c>
      <c r="BE169" s="1" t="e">
        <f t="shared" si="16"/>
        <v>#REF!</v>
      </c>
    </row>
    <row r="170" spans="2:57" ht="7.35" customHeight="1">
      <c r="B170" s="894"/>
      <c r="C170" s="895"/>
      <c r="D170" s="895"/>
      <c r="E170" s="895"/>
      <c r="F170" s="895"/>
      <c r="G170" s="913"/>
      <c r="H170" s="913"/>
      <c r="I170" s="913"/>
      <c r="J170" s="913"/>
      <c r="K170" s="913"/>
      <c r="L170" s="913"/>
      <c r="M170" s="913"/>
      <c r="N170" s="913"/>
      <c r="O170" s="913"/>
      <c r="P170" s="913"/>
      <c r="Q170" s="913"/>
      <c r="R170" s="913"/>
      <c r="S170" s="913"/>
      <c r="T170" s="913"/>
      <c r="U170" s="913"/>
      <c r="V170" s="913"/>
      <c r="W170" s="913"/>
      <c r="X170" s="913"/>
      <c r="Y170" s="913"/>
      <c r="Z170" s="913"/>
      <c r="AA170" s="913"/>
      <c r="AB170" s="913"/>
      <c r="AC170" s="914"/>
      <c r="AD170" s="225"/>
      <c r="AE170" s="176"/>
      <c r="AH170" s="1">
        <f>IF(AA143=Ceny_n!$B$184,IF(AI134=1,Ceny!$F$932,IF(AI134=2,Ceny!$G$932,0)),0)</f>
        <v>0</v>
      </c>
      <c r="AI170" s="1" t="str">
        <f>IF(AG162=3,AH170,AH181)</f>
        <v xml:space="preserve"> </v>
      </c>
      <c r="AJ170" s="1">
        <f>IF(AC134=ZAVESY,Ceny!$E$961,0)</f>
        <v>0</v>
      </c>
      <c r="AL170" s="1">
        <f>Ceny_n!$B$968</f>
        <v>15596</v>
      </c>
      <c r="AM170" s="1">
        <f>Ceny_n!$B$967</f>
        <v>15595</v>
      </c>
      <c r="AN170" s="65">
        <f>IF(AI134=1,Ceny!$B$967,0)</f>
        <v>0</v>
      </c>
      <c r="AO170" s="65"/>
      <c r="AP170" s="65">
        <f>IF(AI134=1,Ceny!$B$968,0)</f>
        <v>0</v>
      </c>
      <c r="AQ170" s="65"/>
      <c r="AR170" s="65">
        <f>IF(AI134=1,Ceny!$B$969,0)</f>
        <v>0</v>
      </c>
      <c r="AS170" s="1">
        <f>VLOOKUP(AL170,Ceny!$B$963:$E$970,4,0)</f>
        <v>11.9</v>
      </c>
      <c r="AT170" s="1">
        <f>VLOOKUP(AM170,Ceny!$B$963:$E$970,4,0)</f>
        <v>13.4</v>
      </c>
      <c r="AU170" s="1">
        <f>VLOOKUP(AN170,Ceny!$B$963:$E$970,4,0)</f>
        <v>0</v>
      </c>
      <c r="AW170" s="1">
        <f>2*(VLOOKUP(AP170,Ceny!$B$963:$E$970,4,0))</f>
        <v>0</v>
      </c>
      <c r="AX170" s="1">
        <f>2*(VLOOKUP(AR170,Ceny!$B$963:$E$970,4,0))</f>
        <v>0</v>
      </c>
      <c r="AY170" s="1">
        <f t="shared" si="21"/>
        <v>25.3</v>
      </c>
      <c r="BD170" s="48" t="e">
        <v>#REF!</v>
      </c>
      <c r="BE170" s="1" t="e">
        <f t="shared" si="16"/>
        <v>#REF!</v>
      </c>
    </row>
    <row r="171" spans="2:57" ht="7.35" customHeight="1">
      <c r="B171" s="894"/>
      <c r="C171" s="895"/>
      <c r="D171" s="895"/>
      <c r="E171" s="895"/>
      <c r="F171" s="895"/>
      <c r="G171" s="913"/>
      <c r="H171" s="913"/>
      <c r="I171" s="913"/>
      <c r="J171" s="913"/>
      <c r="K171" s="913"/>
      <c r="L171" s="913"/>
      <c r="M171" s="913"/>
      <c r="N171" s="913"/>
      <c r="O171" s="913"/>
      <c r="P171" s="913"/>
      <c r="Q171" s="913"/>
      <c r="R171" s="913"/>
      <c r="S171" s="913"/>
      <c r="T171" s="913"/>
      <c r="U171" s="913"/>
      <c r="V171" s="913"/>
      <c r="W171" s="913"/>
      <c r="X171" s="913"/>
      <c r="Y171" s="913"/>
      <c r="Z171" s="913"/>
      <c r="AA171" s="913"/>
      <c r="AB171" s="913"/>
      <c r="AC171" s="914"/>
      <c r="AD171" s="225"/>
      <c r="AE171" s="176"/>
      <c r="AH171" s="1">
        <f>IF(AA143=Ceny_n!$B$184,IF(AI134=1,Ceny!$F$933,IF(AI134=2,Ceny!$G$933,0)),0)</f>
        <v>0</v>
      </c>
      <c r="AI171" s="1" t="str">
        <f>IF(AG162=3,AH171,AH181)</f>
        <v xml:space="preserve"> </v>
      </c>
      <c r="AJ171" s="1">
        <f>IF(AC134=ZAVESY,Ceny!$E$962,0)</f>
        <v>0</v>
      </c>
      <c r="AY171" s="1">
        <f t="shared" si="21"/>
        <v>0</v>
      </c>
      <c r="BD171" s="48" t="e">
        <v>#REF!</v>
      </c>
      <c r="BE171" s="1" t="e">
        <f t="shared" si="16"/>
        <v>#REF!</v>
      </c>
    </row>
    <row r="172" spans="2:57" ht="6" customHeight="1">
      <c r="B172" s="894"/>
      <c r="C172" s="895"/>
      <c r="D172" s="895"/>
      <c r="E172" s="895"/>
      <c r="F172" s="895"/>
      <c r="G172" s="913"/>
      <c r="H172" s="913"/>
      <c r="I172" s="913"/>
      <c r="J172" s="913"/>
      <c r="K172" s="913"/>
      <c r="L172" s="913"/>
      <c r="M172" s="913"/>
      <c r="N172" s="913"/>
      <c r="O172" s="913"/>
      <c r="P172" s="913"/>
      <c r="Q172" s="913"/>
      <c r="R172" s="913"/>
      <c r="S172" s="913"/>
      <c r="T172" s="913"/>
      <c r="U172" s="913"/>
      <c r="V172" s="913"/>
      <c r="W172" s="913"/>
      <c r="X172" s="913"/>
      <c r="Y172" s="913"/>
      <c r="Z172" s="913"/>
      <c r="AA172" s="913"/>
      <c r="AB172" s="913"/>
      <c r="AC172" s="914"/>
      <c r="AD172" s="225"/>
      <c r="AE172" s="176"/>
      <c r="AH172" s="1">
        <f>IF(AA143=Ceny_n!$B$184,IF(AI134=1,Ceny!$F$934,IF(AI134=2,Ceny!$G$934,0)),0)</f>
        <v>0</v>
      </c>
      <c r="AI172" s="1" t="str">
        <f>IF(AG162=3,AH172,AH181)</f>
        <v xml:space="preserve"> </v>
      </c>
      <c r="BD172" s="48" t="e">
        <v>#REF!</v>
      </c>
      <c r="BE172" s="1" t="e">
        <f t="shared" si="16"/>
        <v>#REF!</v>
      </c>
    </row>
    <row r="173" spans="2:57" ht="7.35" customHeight="1" thickBot="1">
      <c r="B173" s="894"/>
      <c r="C173" s="895"/>
      <c r="D173" s="895"/>
      <c r="E173" s="895"/>
      <c r="F173" s="895"/>
      <c r="G173" s="913"/>
      <c r="H173" s="913"/>
      <c r="I173" s="913"/>
      <c r="J173" s="913"/>
      <c r="K173" s="913"/>
      <c r="L173" s="913"/>
      <c r="M173" s="913"/>
      <c r="N173" s="913"/>
      <c r="O173" s="913"/>
      <c r="P173" s="913"/>
      <c r="Q173" s="913"/>
      <c r="R173" s="913"/>
      <c r="S173" s="913"/>
      <c r="T173" s="913"/>
      <c r="U173" s="913"/>
      <c r="V173" s="913"/>
      <c r="W173" s="913"/>
      <c r="X173" s="913"/>
      <c r="Y173" s="913"/>
      <c r="Z173" s="913"/>
      <c r="AA173" s="913"/>
      <c r="AB173" s="913"/>
      <c r="AC173" s="914"/>
      <c r="AD173" s="225"/>
      <c r="AE173" s="176"/>
      <c r="AH173" s="1">
        <f>IF(AA143=Ceny_n!$B$184,IF(AI134=1,Ceny!$F$935,IF(AI134=2,Ceny!$G$935,0)),0)</f>
        <v>0</v>
      </c>
      <c r="AI173" s="1" t="str">
        <f>IF(AG162=3,AH173,AH181)</f>
        <v xml:space="preserve"> </v>
      </c>
      <c r="BD173" s="52" t="e">
        <v>#REF!</v>
      </c>
      <c r="BE173" s="1" t="e">
        <f t="shared" si="16"/>
        <v>#REF!</v>
      </c>
    </row>
    <row r="174" spans="2:57" ht="7.35" customHeight="1">
      <c r="B174" s="894"/>
      <c r="C174" s="895"/>
      <c r="D174" s="895"/>
      <c r="E174" s="895"/>
      <c r="F174" s="895"/>
      <c r="G174" s="913"/>
      <c r="H174" s="913"/>
      <c r="I174" s="913"/>
      <c r="J174" s="913"/>
      <c r="K174" s="913"/>
      <c r="L174" s="913"/>
      <c r="M174" s="913"/>
      <c r="N174" s="913"/>
      <c r="O174" s="913"/>
      <c r="P174" s="913"/>
      <c r="Q174" s="913"/>
      <c r="R174" s="913"/>
      <c r="S174" s="913"/>
      <c r="T174" s="913"/>
      <c r="U174" s="913"/>
      <c r="V174" s="913"/>
      <c r="W174" s="913"/>
      <c r="X174" s="913"/>
      <c r="Y174" s="913"/>
      <c r="Z174" s="913"/>
      <c r="AA174" s="913"/>
      <c r="AB174" s="913"/>
      <c r="AC174" s="914"/>
      <c r="AD174" s="225"/>
      <c r="AE174" s="176"/>
      <c r="AH174" s="1">
        <f>IF(AA143=Ceny_n!$B$184,IF(AI134=1,Ceny!$F$936,IF(AI134=2,Ceny!$G$936,0)),0)</f>
        <v>0</v>
      </c>
      <c r="AI174" s="1" t="str">
        <f>IF(AG162=3,AH174,AH181)</f>
        <v xml:space="preserve"> </v>
      </c>
    </row>
    <row r="175" spans="2:57" ht="7.35" customHeight="1">
      <c r="B175" s="894"/>
      <c r="C175" s="895"/>
      <c r="D175" s="895"/>
      <c r="E175" s="895"/>
      <c r="F175" s="895"/>
      <c r="G175" s="913"/>
      <c r="H175" s="913"/>
      <c r="I175" s="913"/>
      <c r="J175" s="913"/>
      <c r="K175" s="913"/>
      <c r="L175" s="913"/>
      <c r="M175" s="913"/>
      <c r="N175" s="913"/>
      <c r="O175" s="913"/>
      <c r="P175" s="913"/>
      <c r="Q175" s="913"/>
      <c r="R175" s="913"/>
      <c r="S175" s="913"/>
      <c r="T175" s="913"/>
      <c r="U175" s="913"/>
      <c r="V175" s="913"/>
      <c r="W175" s="913"/>
      <c r="X175" s="913"/>
      <c r="Y175" s="913"/>
      <c r="Z175" s="913"/>
      <c r="AA175" s="913"/>
      <c r="AB175" s="913"/>
      <c r="AC175" s="914"/>
      <c r="AD175" s="225"/>
      <c r="AE175" s="176"/>
      <c r="AH175" s="1">
        <f>IF(AA143=Ceny_n!$B$184,IF(AI134=1,Ceny!$F$937,IF(AI134=2,Ceny!$G$937,0)),0)</f>
        <v>0</v>
      </c>
      <c r="AI175" s="1" t="str">
        <f>IF(AG162=3,AH175,AH181)</f>
        <v xml:space="preserve"> </v>
      </c>
    </row>
    <row r="176" spans="2:57" ht="20.25" customHeight="1">
      <c r="B176" s="894"/>
      <c r="C176" s="895"/>
      <c r="D176" s="895"/>
      <c r="E176" s="895"/>
      <c r="F176" s="895"/>
      <c r="G176" s="913"/>
      <c r="H176" s="913"/>
      <c r="I176" s="913"/>
      <c r="J176" s="913"/>
      <c r="K176" s="913"/>
      <c r="L176" s="913"/>
      <c r="M176" s="913"/>
      <c r="N176" s="913"/>
      <c r="O176" s="913"/>
      <c r="P176" s="913"/>
      <c r="Q176" s="913"/>
      <c r="R176" s="913"/>
      <c r="S176" s="913"/>
      <c r="T176" s="913"/>
      <c r="U176" s="913"/>
      <c r="V176" s="913"/>
      <c r="W176" s="913"/>
      <c r="X176" s="913"/>
      <c r="Y176" s="913"/>
      <c r="Z176" s="913"/>
      <c r="AA176" s="913"/>
      <c r="AB176" s="913"/>
      <c r="AC176" s="914"/>
      <c r="AD176" s="225"/>
      <c r="AE176" s="176"/>
      <c r="AH176" s="1">
        <f>IF(AA143=Ceny_n!$B$184,IF(AI134=1,Ceny!$F$938,IF(AI134=2,Ceny!$G$938,0)),0)</f>
        <v>0</v>
      </c>
      <c r="AI176" s="1" t="str">
        <f>IF(AG162=3,AH176,AH181)</f>
        <v xml:space="preserve"> </v>
      </c>
    </row>
    <row r="177" spans="2:59" ht="7.35" customHeight="1">
      <c r="B177" s="894"/>
      <c r="C177" s="895"/>
      <c r="D177" s="895"/>
      <c r="E177" s="895"/>
      <c r="F177" s="895"/>
      <c r="G177" s="913"/>
      <c r="H177" s="913"/>
      <c r="I177" s="913"/>
      <c r="J177" s="913"/>
      <c r="K177" s="913"/>
      <c r="L177" s="913"/>
      <c r="M177" s="913"/>
      <c r="N177" s="913"/>
      <c r="O177" s="913"/>
      <c r="P177" s="913"/>
      <c r="Q177" s="913"/>
      <c r="R177" s="913"/>
      <c r="S177" s="913"/>
      <c r="T177" s="913"/>
      <c r="U177" s="913"/>
      <c r="V177" s="913"/>
      <c r="W177" s="913"/>
      <c r="X177" s="913"/>
      <c r="Y177" s="913"/>
      <c r="Z177" s="913"/>
      <c r="AA177" s="913"/>
      <c r="AB177" s="913"/>
      <c r="AC177" s="914"/>
      <c r="AD177" s="225"/>
      <c r="AE177" s="176"/>
      <c r="AH177" s="1">
        <f>IF(AA143=Ceny_n!$B$184,IF(AI134=1,Ceny!$F$939,IF(AI134=2,Ceny!$G$939,0)),0)</f>
        <v>0</v>
      </c>
    </row>
    <row r="178" spans="2:59" ht="7.35" customHeight="1">
      <c r="B178" s="894"/>
      <c r="C178" s="895"/>
      <c r="D178" s="895"/>
      <c r="E178" s="895"/>
      <c r="F178" s="895"/>
      <c r="G178" s="913"/>
      <c r="H178" s="913"/>
      <c r="I178" s="913"/>
      <c r="J178" s="913"/>
      <c r="K178" s="913"/>
      <c r="L178" s="913"/>
      <c r="M178" s="913"/>
      <c r="N178" s="913"/>
      <c r="O178" s="913"/>
      <c r="P178" s="913"/>
      <c r="Q178" s="913"/>
      <c r="R178" s="913"/>
      <c r="S178" s="913"/>
      <c r="T178" s="913"/>
      <c r="U178" s="913"/>
      <c r="V178" s="913"/>
      <c r="W178" s="913"/>
      <c r="X178" s="913"/>
      <c r="Y178" s="913"/>
      <c r="Z178" s="913"/>
      <c r="AA178" s="913"/>
      <c r="AB178" s="913"/>
      <c r="AC178" s="914"/>
      <c r="AD178" s="225"/>
      <c r="AE178" s="176"/>
      <c r="AH178" s="1">
        <f>IF(AA143=Ceny_n!$B$184,IF(AI134=1,Ceny!$F$940,IF(AI134=2,Ceny!$G$940,0)),0)</f>
        <v>0</v>
      </c>
    </row>
    <row r="179" spans="2:59" ht="7.35" customHeight="1">
      <c r="B179" s="894"/>
      <c r="C179" s="895"/>
      <c r="D179" s="895"/>
      <c r="E179" s="895"/>
      <c r="F179" s="895"/>
      <c r="G179" s="913"/>
      <c r="H179" s="913"/>
      <c r="I179" s="913"/>
      <c r="J179" s="913"/>
      <c r="K179" s="913"/>
      <c r="L179" s="913"/>
      <c r="M179" s="913"/>
      <c r="N179" s="913"/>
      <c r="O179" s="913"/>
      <c r="P179" s="913"/>
      <c r="Q179" s="913"/>
      <c r="R179" s="913"/>
      <c r="S179" s="913"/>
      <c r="T179" s="913"/>
      <c r="U179" s="913"/>
      <c r="V179" s="913"/>
      <c r="W179" s="913"/>
      <c r="X179" s="913"/>
      <c r="Y179" s="913"/>
      <c r="Z179" s="913"/>
      <c r="AA179" s="913"/>
      <c r="AB179" s="913"/>
      <c r="AC179" s="914"/>
      <c r="AD179" s="225"/>
      <c r="AE179" s="176"/>
      <c r="AH179" s="1">
        <f>IF(AA143=Ceny_n!$B$184,IF(AI134=1,Ceny!$F$941,IF(AI134=2,Ceny!$G$941,0)),0)</f>
        <v>0</v>
      </c>
    </row>
    <row r="180" spans="2:59" ht="7.35" customHeight="1">
      <c r="B180" s="896"/>
      <c r="C180" s="897"/>
      <c r="D180" s="897"/>
      <c r="E180" s="897"/>
      <c r="F180" s="897"/>
      <c r="G180" s="915"/>
      <c r="H180" s="915"/>
      <c r="I180" s="915"/>
      <c r="J180" s="915"/>
      <c r="K180" s="915"/>
      <c r="L180" s="915"/>
      <c r="M180" s="915"/>
      <c r="N180" s="915"/>
      <c r="O180" s="915"/>
      <c r="P180" s="915"/>
      <c r="Q180" s="915"/>
      <c r="R180" s="915"/>
      <c r="S180" s="915"/>
      <c r="T180" s="915"/>
      <c r="U180" s="915"/>
      <c r="V180" s="915"/>
      <c r="W180" s="915"/>
      <c r="X180" s="915"/>
      <c r="Y180" s="915"/>
      <c r="Z180" s="915"/>
      <c r="AA180" s="915"/>
      <c r="AB180" s="915"/>
      <c r="AC180" s="916"/>
      <c r="AD180" s="225"/>
      <c r="AE180" s="176"/>
      <c r="AH180" s="1">
        <f>IF(AA143=Ceny_n!$B$184,IF(AI134=1,Ceny!$F$942,IF(AI134=2,Ceny!$G$942,0)),0)</f>
        <v>0</v>
      </c>
    </row>
    <row r="181" spans="2:59" ht="7.5" customHeight="1">
      <c r="B181" s="92"/>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4"/>
      <c r="AD181" s="226"/>
      <c r="AE181" s="177"/>
      <c r="AH181" s="1" t="s">
        <v>677</v>
      </c>
    </row>
    <row r="182" spans="2:59" ht="26.25">
      <c r="B182" s="120" t="s">
        <v>3</v>
      </c>
      <c r="C182" s="872" t="str">
        <f>Ceny_n!$B$129</f>
        <v>Rámeček</v>
      </c>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3"/>
      <c r="AD182" s="218"/>
      <c r="AE182" s="166"/>
    </row>
    <row r="183" spans="2:59" ht="15.75" thickBot="1">
      <c r="B183" s="79"/>
      <c r="AC183" s="76"/>
      <c r="AD183" s="227" t="s">
        <v>1192</v>
      </c>
      <c r="AJ183" s="938" t="s">
        <v>1510</v>
      </c>
      <c r="AK183" s="938"/>
    </row>
    <row r="184" spans="2:59" ht="15.75" thickBot="1">
      <c r="B184" s="80"/>
      <c r="D184" s="917" t="str">
        <f>IF(H184=1,AC193,"")</f>
        <v/>
      </c>
      <c r="E184" s="918"/>
      <c r="F184" s="918"/>
      <c r="G184" s="918"/>
      <c r="H184" s="38">
        <f>IF(AG216=3,1,0)</f>
        <v>0</v>
      </c>
      <c r="I184" s="38"/>
      <c r="J184" s="38"/>
      <c r="K184" s="38" t="b">
        <f>IF(AG216=3,IF(AC192=4,1,0))</f>
        <v>0</v>
      </c>
      <c r="L184" s="38"/>
      <c r="M184" s="38" t="b">
        <f>IF(AG216=3,IF(AC192=3,1,0))</f>
        <v>0</v>
      </c>
      <c r="N184" s="38"/>
      <c r="O184" s="38" t="b">
        <f>IF(AG216=3,IF(AC192=4,1,0))</f>
        <v>0</v>
      </c>
      <c r="P184" s="38"/>
      <c r="Q184" s="38"/>
      <c r="R184" s="38">
        <f>IF(AG216=3,1,0)</f>
        <v>0</v>
      </c>
      <c r="S184" s="959" t="str">
        <f>IF(R184=1,AC193,"")</f>
        <v/>
      </c>
      <c r="T184" s="959"/>
      <c r="U184" s="959"/>
      <c r="V184" s="959"/>
      <c r="W184" s="960"/>
      <c r="Y184" s="40"/>
      <c r="AA184" s="799"/>
      <c r="AB184" s="799"/>
      <c r="AC184" s="76"/>
      <c r="AG184" s="1" t="s">
        <v>87</v>
      </c>
      <c r="AH184" s="1" t="s">
        <v>88</v>
      </c>
      <c r="AI184" s="1" t="s">
        <v>89</v>
      </c>
      <c r="AJ184" s="1" t="s">
        <v>6</v>
      </c>
      <c r="AL184" s="1" t="s">
        <v>99</v>
      </c>
      <c r="AM184" s="1" t="s">
        <v>90</v>
      </c>
      <c r="AN184" s="1" t="s">
        <v>109</v>
      </c>
      <c r="AP184" s="1" t="s">
        <v>91</v>
      </c>
      <c r="AR184" s="1" t="s">
        <v>93</v>
      </c>
      <c r="AS184" s="1" t="s">
        <v>92</v>
      </c>
      <c r="BB184" s="1">
        <v>0</v>
      </c>
      <c r="BD184" s="1" t="e">
        <f>IF(ISNA(VLOOKUP(AC190,#REF!,14,FALSE)),2,IF(VLOOKUP(AC190,#REF!,14,FALSE)="N",1,2))</f>
        <v>#REF!</v>
      </c>
    </row>
    <row r="185" spans="2:59" ht="18" customHeight="1">
      <c r="B185" s="80"/>
      <c r="D185" s="902" t="str">
        <f>IF(D189=1,AC193,"")</f>
        <v/>
      </c>
      <c r="E185" s="41"/>
      <c r="F185" s="42"/>
      <c r="G185" s="42"/>
      <c r="H185" s="42"/>
      <c r="I185" s="42"/>
      <c r="J185" s="42"/>
      <c r="K185" s="42"/>
      <c r="L185" s="42"/>
      <c r="M185" s="42"/>
      <c r="N185" s="42"/>
      <c r="O185" s="42"/>
      <c r="P185" s="42"/>
      <c r="Q185" s="42"/>
      <c r="R185" s="42"/>
      <c r="S185" s="42"/>
      <c r="T185" s="42"/>
      <c r="U185" s="42"/>
      <c r="V185" s="43"/>
      <c r="W185" s="902" t="str">
        <f>IF(W189=1,AC193,"")</f>
        <v/>
      </c>
      <c r="AA185" s="927" t="str">
        <f>Ceny_n!$B$132</f>
        <v>Typ profilu</v>
      </c>
      <c r="AB185" s="928"/>
      <c r="AC185" s="206" t="s">
        <v>258</v>
      </c>
      <c r="AD185" s="167" t="s">
        <v>1646</v>
      </c>
      <c r="AE185" s="167"/>
      <c r="AF185" s="87">
        <f>IF(AC189=AV_HL_SD,TYP_RAM,AG190)</f>
        <v>0</v>
      </c>
      <c r="AG185" s="1" t="e">
        <f>VLOOKUP(AC185,$B$348:$D$391,2,0)</f>
        <v>#N/A</v>
      </c>
      <c r="AH185" s="1" t="e">
        <f>AG185*(((L214/1000)+(Y190/1000))*2)</f>
        <v>#N/A</v>
      </c>
      <c r="AI185" s="1" t="e">
        <f>AH185*AC187</f>
        <v>#N/A</v>
      </c>
      <c r="AJ185" s="1" t="e">
        <f>VLOOKUP(AC185,$B$348:$D$391,3,0)</f>
        <v>#N/A</v>
      </c>
      <c r="AL185" s="1" t="e">
        <f>VLOOKUP(AC185,$B$348:$I$392,AH189,0)</f>
        <v>#N/A</v>
      </c>
      <c r="AM185" s="1" t="e">
        <f>AJ185*AC187</f>
        <v>#N/A</v>
      </c>
      <c r="AN185" s="1" t="e">
        <f>AL185*AC187</f>
        <v>#N/A</v>
      </c>
      <c r="AP185" s="1">
        <f>VLOOKUP(AC186,$B$403:$C$477,2,0)</f>
        <v>0</v>
      </c>
      <c r="AR185" s="1">
        <f>(L214/1000)*(Y190/1000)*AP185</f>
        <v>0</v>
      </c>
      <c r="AS185" s="1">
        <f>AR185*AC187</f>
        <v>0</v>
      </c>
      <c r="BB185" s="937" t="s">
        <v>1172</v>
      </c>
      <c r="BC185" s="937"/>
      <c r="BD185" s="937"/>
      <c r="BE185" s="937"/>
      <c r="BF185" s="937"/>
      <c r="BG185" s="937"/>
    </row>
    <row r="186" spans="2:59" ht="18" customHeight="1" thickBot="1">
      <c r="B186" s="80"/>
      <c r="D186" s="902"/>
      <c r="E186" s="44"/>
      <c r="F186" s="45"/>
      <c r="G186" s="45"/>
      <c r="H186" s="45"/>
      <c r="I186" s="45"/>
      <c r="J186" s="45"/>
      <c r="K186" s="45"/>
      <c r="L186" s="45"/>
      <c r="M186" s="45"/>
      <c r="N186" s="45"/>
      <c r="O186" s="45"/>
      <c r="P186" s="45"/>
      <c r="Q186" s="45"/>
      <c r="R186" s="45"/>
      <c r="S186" s="45"/>
      <c r="T186" s="45"/>
      <c r="U186" s="45"/>
      <c r="V186" s="46"/>
      <c r="W186" s="902"/>
      <c r="AA186" s="907" t="str">
        <f>Ceny_n!$B$133</f>
        <v>Typ skla</v>
      </c>
      <c r="AB186" s="908"/>
      <c r="AC186" s="207"/>
      <c r="AD186" s="167" t="s">
        <v>1519</v>
      </c>
      <c r="AE186" s="168"/>
      <c r="AF186" s="1" t="str">
        <f>Ceny_n!$B$199</f>
        <v>Vyberte ze seznamu</v>
      </c>
      <c r="AG186" s="1" t="s">
        <v>220</v>
      </c>
      <c r="AH186" s="1" t="s">
        <v>226</v>
      </c>
      <c r="AI186" s="1" t="s">
        <v>227</v>
      </c>
      <c r="AJ186" s="1" t="s">
        <v>371</v>
      </c>
      <c r="AL186" s="1" t="s">
        <v>29</v>
      </c>
      <c r="BB186" s="178" t="s">
        <v>1051</v>
      </c>
      <c r="BC186" s="179" t="s">
        <v>1057</v>
      </c>
      <c r="BD186" s="182" t="s">
        <v>1078</v>
      </c>
      <c r="BE186" s="182"/>
      <c r="BF186" s="1" t="s">
        <v>1166</v>
      </c>
      <c r="BG186" s="1" t="s">
        <v>1167</v>
      </c>
    </row>
    <row r="187" spans="2:59" ht="18" customHeight="1" thickBot="1">
      <c r="B187" s="80"/>
      <c r="D187" s="902"/>
      <c r="E187" s="44"/>
      <c r="F187" s="45"/>
      <c r="G187" s="45"/>
      <c r="H187" s="45"/>
      <c r="I187" s="45"/>
      <c r="J187" s="45"/>
      <c r="K187" s="45"/>
      <c r="L187" s="45"/>
      <c r="M187" s="45"/>
      <c r="N187" s="45"/>
      <c r="O187" s="45"/>
      <c r="P187" s="45"/>
      <c r="Q187" s="45"/>
      <c r="R187" s="45"/>
      <c r="S187" s="45"/>
      <c r="T187" s="45"/>
      <c r="U187" s="45"/>
      <c r="V187" s="46"/>
      <c r="W187" s="902"/>
      <c r="AA187" s="907" t="str">
        <f>Ceny_n!$B$134</f>
        <v>Počet kusů</v>
      </c>
      <c r="AB187" s="908"/>
      <c r="AC187" s="207"/>
      <c r="AD187" s="167" t="s">
        <v>1195</v>
      </c>
      <c r="AE187" s="168"/>
      <c r="AF187" s="1" t="str">
        <f>IF(AC185=AF186,"",Ceny!$B$141)</f>
        <v/>
      </c>
      <c r="AG187" s="1" t="e">
        <f>VLOOKUP(AR188,Ceny!$B$847:$D$917,3,0)</f>
        <v>#VALUE!</v>
      </c>
      <c r="AH187" s="1" t="e">
        <f>VLOOKUP(AW188,Ceny!$B$847:$D$917,3,0)</f>
        <v>#VALUE!</v>
      </c>
      <c r="AI187" s="1" t="e">
        <f>(AG187+AH187)*AC187*AC192</f>
        <v>#VALUE!</v>
      </c>
      <c r="AJ187" s="1">
        <f>IF(AC197=0,0,VLOOKUP(AC197,AI211:AY225,13,0))</f>
        <v>0</v>
      </c>
      <c r="AL187" s="1">
        <f>AG207*AC187*AJ187</f>
        <v>0</v>
      </c>
      <c r="AP187" s="938" t="s">
        <v>1511</v>
      </c>
      <c r="AQ187" s="938"/>
      <c r="BB187" s="47" t="e">
        <f t="array" ref="BB187:BB204">IF(AI188=1,PANT_HETTICH_WIDE,PANT_HETTICH_SLIM)</f>
        <v>#REF!</v>
      </c>
      <c r="BC187" s="185" t="e">
        <f t="array" ref="BC187:BC204">IF(AI188=2,PANT_BLUM_WIDE,PANT_BLUM_SLIM)</f>
        <v>#REF!</v>
      </c>
      <c r="BD187" s="47" t="e">
        <f t="array" ref="BD187:BD227">IF(ISNA(IF(AND(AI188=2,AC196=NAHORE),VYKLOP_UP_WIDE,
IF(AND(AI188=2,AC196=DOLE),VYKLOP_DWN_WIDE,
IF(AND(AI188=1,AC196=NAHORE),VYKLOP_UP_SLIM,
IF(AND(AI188=1,AC196=DOLE),VYKLOP_DWN_SLIM,""))))),"",IF(BD184=2,"",IF(AND(AI188=2,AC196=NAHORE),VYKLOP_UP_WIDE,
IF(AND(AI188=2,AC196=DOLE),VYKLOP_DWN_WIDE,
IF(AND(AI188=1,AC196=NAHORE),VYKLOP_UP_SLIM,
IF(AND(AI188=1,AC196=DOLE),VYKLOP_DWN_SLIM,""))))))</f>
        <v>#REF!</v>
      </c>
      <c r="BE187" s="1" t="e">
        <f>IF(OR(ISNA(BD187),BD187="",BD187=0),"",1)</f>
        <v>#REF!</v>
      </c>
      <c r="BF187" s="47" t="e">
        <f t="array" ref="BF187:BF203">IF(AI188=1,PANT_STRONG_SLIM_BTL,PANT_STRONG_WIDE_BTL)</f>
        <v>#REF!</v>
      </c>
      <c r="BG187" s="47" t="e">
        <f t="array" ref="BG187:BG203">IF(AI188=1,PANT_STRONG_SLIM_STL,PANT_STRONG_WIDE_STL)</f>
        <v>#REF!</v>
      </c>
    </row>
    <row r="188" spans="2:59" ht="18" customHeight="1" thickBot="1">
      <c r="B188" s="80"/>
      <c r="D188" s="902"/>
      <c r="E188" s="44"/>
      <c r="F188" s="45"/>
      <c r="G188" s="45"/>
      <c r="H188" s="45"/>
      <c r="I188" s="45"/>
      <c r="J188" s="45"/>
      <c r="K188" s="45"/>
      <c r="L188" s="45"/>
      <c r="M188" s="45"/>
      <c r="N188" s="45"/>
      <c r="O188" s="45"/>
      <c r="P188" s="45"/>
      <c r="Q188" s="45"/>
      <c r="R188" s="45"/>
      <c r="S188" s="45"/>
      <c r="T188" s="45"/>
      <c r="U188" s="45"/>
      <c r="V188" s="46"/>
      <c r="W188" s="902"/>
      <c r="AA188" s="907" t="str">
        <f>Ceny_n!$B$215</f>
        <v>Typ kování</v>
      </c>
      <c r="AB188" s="908"/>
      <c r="AC188" s="207"/>
      <c r="AD188" s="167" t="s">
        <v>1189</v>
      </c>
      <c r="AE188" s="168"/>
      <c r="AF188" s="87" t="str">
        <f>IF(AC185=AF186,"",AV_HF)</f>
        <v/>
      </c>
      <c r="AI188" s="1">
        <f>IF(AC185=AF186,0,VLOOKUP(AC185,#REF!,2,0))</f>
        <v>0</v>
      </c>
      <c r="AJ188" s="193" t="str">
        <f>IF(AC188=AV_HF,HOR_DV,
IF(AC188=AV_HF_SD,HOR_DV,
IF(AC188=AV_OST,AV_HK,
IF(AC188=ZAVESY,PRAZDNE_1,""))))</f>
        <v/>
      </c>
      <c r="AK188" s="194" t="str">
        <f t="shared" ref="AK188:AK199" si="22">IF(OR(ISNA(AJ188),AJ188=""),"",1)</f>
        <v/>
      </c>
      <c r="AL188" s="799" t="s">
        <v>21</v>
      </c>
      <c r="AM188" s="799"/>
      <c r="AN188" s="799"/>
      <c r="AO188" s="181"/>
      <c r="AP188" s="1" t="e">
        <f>IF(AE190=AP189,1,IF(AE190=AP190,2,IF(AE190=AP191,3,IF(AE190=AP192,4,IF(AE190=AP193,5,IF(AE190=AP194,6,IF(AE190=AP195,7,0)))))))</f>
        <v>#VALUE!</v>
      </c>
      <c r="AR188" s="1" t="e">
        <f>VLOOKUP(AP188,AL189:AR514,5,0)</f>
        <v>#VALUE!</v>
      </c>
      <c r="AS188" s="945" t="s">
        <v>1176</v>
      </c>
      <c r="AT188" s="945"/>
      <c r="AU188" s="1" t="e">
        <f>IF(AE191=AU189,1,IF(AE191=AU190,2,0))</f>
        <v>#VALUE!</v>
      </c>
      <c r="AW188" s="1" t="e">
        <f>VLOOKUP(AU188,AL189:AS190,6,0)</f>
        <v>#VALUE!</v>
      </c>
      <c r="BB188" s="48" t="e">
        <v>#REF!</v>
      </c>
      <c r="BC188" s="186" t="e">
        <v>#REF!</v>
      </c>
      <c r="BD188" s="48" t="e">
        <v>#REF!</v>
      </c>
      <c r="BE188" s="1" t="e">
        <f t="shared" ref="BE188:BE227" si="23">IF(OR(ISNA(BD188),BD188="",BD188=0),"",1)</f>
        <v>#REF!</v>
      </c>
      <c r="BF188" s="48" t="e">
        <v>#REF!</v>
      </c>
      <c r="BG188" s="48" t="e">
        <v>#REF!</v>
      </c>
    </row>
    <row r="189" spans="2:59" ht="18" customHeight="1">
      <c r="B189" s="80"/>
      <c r="D189" s="37">
        <f>IF(AG216=2,1,0)</f>
        <v>0</v>
      </c>
      <c r="E189" s="44"/>
      <c r="F189" s="45"/>
      <c r="G189" s="45"/>
      <c r="H189" s="45"/>
      <c r="I189" s="45"/>
      <c r="J189" s="45"/>
      <c r="K189" s="45"/>
      <c r="L189" s="45"/>
      <c r="M189" s="45"/>
      <c r="N189" s="45"/>
      <c r="O189" s="45"/>
      <c r="P189" s="45"/>
      <c r="Q189" s="45"/>
      <c r="R189" s="45"/>
      <c r="S189" s="45"/>
      <c r="T189" s="45"/>
      <c r="U189" s="45"/>
      <c r="V189" s="46"/>
      <c r="W189" s="37">
        <f>IF(AG216=1,1,0)</f>
        <v>0</v>
      </c>
      <c r="AA189" s="907">
        <f>IF(AC188=AV_HF,POZ_RAM,
IF(AC188=AV_HF_SD,POZ_RAM,
IF(AC188=ZAVESY,VYR_ZAVES,
IF(AC188=AV_OST,TYP_AV,0))))</f>
        <v>0</v>
      </c>
      <c r="AB189" s="908"/>
      <c r="AC189" s="208"/>
      <c r="AD189" s="219" t="s">
        <v>1203</v>
      </c>
      <c r="AE189" s="169"/>
      <c r="AF189" s="87" t="str">
        <f>IF(AC185=AF186,"",AV_HF_SD)</f>
        <v/>
      </c>
      <c r="AH189" s="1">
        <f>IF(AC188=AV_HF,5,IF(AC188=AV_HF_SD,5,IF(AC188=AV_OST,5,8)))</f>
        <v>8</v>
      </c>
      <c r="AI189" s="190">
        <f>IF(AI188=1,$B$480,IF(AI188=2,$B$484,0))</f>
        <v>0</v>
      </c>
      <c r="AJ189" s="195" t="str">
        <f>IF(AC188=AV_HF,DOL_DV,
IF(AC188=AV_HF_SD,DOL_DV,
IF(AC188=AV_OST,AV_HK_TIP,
IF(AC188=ZAVESY,BLUM,""))))</f>
        <v/>
      </c>
      <c r="AK189" s="196" t="str">
        <f t="shared" si="22"/>
        <v/>
      </c>
      <c r="AL189" s="1">
        <v>1</v>
      </c>
      <c r="AM189" s="1">
        <f>IF(AC189=PRAZDNE_1,AI189,IF(AC189=BLUM,BC187,IF(AC189=STRONG_INT_TL,AI206,IF(AC189=STRONG_BINT_TL,AI202,IF(AC189=HETTICH,BB187,"")))))</f>
        <v>0</v>
      </c>
      <c r="AN189" s="1" t="str">
        <f t="shared" ref="AN189:AN203" si="24">IF(ISNA(VLOOKUP(AM189,$B$480:$C$615,2,0)),"",VLOOKUP(AM189,$B$480:$C$615,2,0))</f>
        <v/>
      </c>
      <c r="AO189" s="1" t="str">
        <f>CONCATENATE(AN189," (",AM189,")")</f>
        <v xml:space="preserve"> (0)</v>
      </c>
      <c r="AP189" s="199">
        <f t="array" ref="AP189:AP214">IF(OR(AC188=AV_HF,AC188=AV_HF_SD),HF_TYP_2_CILKA,
IF(AC189=AV_HL,TYP_RAM_AV_HL1,
IF(AC189=AV_HL_SD,TYP_RAM_AV_HL,
IF(OR(AC189=AV_HKXS,AC189=AV_HKXS_TIP),UMISTENI_RAM_HKXS,
IF(AC189=HETTICH,T1_PANT_HETTICH,
IF(AC189=BLUM,T1_PANT_BLUM,
IF(AC189=STRONG_BINT_TL,T1_PANT_STRONG_BTL,
IF(AC189=STRONG_INT_TL,T1_PANT_STRONG_STL,PRAZDNE_1))))))))</f>
        <v>0</v>
      </c>
      <c r="AQ189" s="194" t="str">
        <f>IF(OR(ISNA(AP189),AP189=0),"",1)</f>
        <v/>
      </c>
      <c r="AS189" s="202" t="e">
        <f>VLOOKUP(AR188,#REF!,8,0)</f>
        <v>#VALUE!</v>
      </c>
      <c r="AT189" s="194" t="e">
        <f>IF(OR(ISNA(AS189),AS189=0),"",1)</f>
        <v>#VALUE!</v>
      </c>
      <c r="AU189" s="1" t="e">
        <f>IF(OR(ISNA(AS189),AS189=0),PRAZDNE_1,VLOOKUP(AR188,#REF!,5,FALSE))</f>
        <v>#VALUE!</v>
      </c>
      <c r="BB189" s="48" t="e">
        <v>#REF!</v>
      </c>
      <c r="BC189" s="186" t="e">
        <v>#REF!</v>
      </c>
      <c r="BD189" s="48" t="e">
        <v>#REF!</v>
      </c>
      <c r="BE189" s="1" t="e">
        <f t="shared" si="23"/>
        <v>#REF!</v>
      </c>
      <c r="BF189" s="48" t="e">
        <v>#REF!</v>
      </c>
      <c r="BG189" s="48" t="e">
        <v>#REF!</v>
      </c>
    </row>
    <row r="190" spans="2:59" ht="18" customHeight="1">
      <c r="B190" s="80"/>
      <c r="D190" s="37"/>
      <c r="E190" s="44"/>
      <c r="F190" s="45"/>
      <c r="G190" s="45"/>
      <c r="H190" s="45"/>
      <c r="I190" s="45"/>
      <c r="J190" s="45"/>
      <c r="K190" s="45"/>
      <c r="L190" s="45"/>
      <c r="M190" s="45"/>
      <c r="N190" s="45"/>
      <c r="O190" s="45"/>
      <c r="P190" s="45"/>
      <c r="Q190" s="45"/>
      <c r="R190" s="32"/>
      <c r="S190" s="32"/>
      <c r="T190" s="32"/>
      <c r="U190" s="32"/>
      <c r="V190" s="33"/>
      <c r="W190" s="37"/>
      <c r="Y190" s="932"/>
      <c r="Z190" s="909"/>
      <c r="AA190" s="907" t="e">
        <f>#VALUE!</f>
        <v>#VALUE!</v>
      </c>
      <c r="AB190" s="908"/>
      <c r="AC190" s="234"/>
      <c r="AD190" s="220" t="s">
        <v>1204</v>
      </c>
      <c r="AE190" s="170" t="e">
        <f>IF(AA190=HM_UCH,0,AC190)</f>
        <v>#VALUE!</v>
      </c>
      <c r="AF190" s="87" t="str">
        <f>IF(AC185=AF186,"",AV_OST)</f>
        <v/>
      </c>
      <c r="AG190" s="1">
        <f>IF(AC189=AV_HL_SD,HM_UCH,IF(AC189=AV_HS_SD,HM_UCH,0))</f>
        <v>0</v>
      </c>
      <c r="AI190" s="191">
        <f>IF(AI188=1,$B$481,IF(AI188=2,$B$485,0))</f>
        <v>0</v>
      </c>
      <c r="AJ190" s="195" t="str">
        <f>IF(AC188=AV_OST,AV_HK_SD,
IF(AC188=ZAVESY,HETTICH,""))</f>
        <v/>
      </c>
      <c r="AK190" s="196" t="str">
        <f t="shared" si="22"/>
        <v/>
      </c>
      <c r="AL190" s="1">
        <v>2</v>
      </c>
      <c r="AM190" s="1">
        <f>IF(AC189=PRAZDNE_1,AI190,IF(AC189=BLUM,BC188,IF(AC189=STRONG_INT_TL,AI207,IF(AC189=STRONG_BINT_TL,AI203,IF(AC189=HETTICH,BB188,"")))))</f>
        <v>0</v>
      </c>
      <c r="AN190" s="1" t="str">
        <f t="shared" si="24"/>
        <v/>
      </c>
      <c r="AO190" s="1" t="str">
        <f t="shared" ref="AO190:AO214" si="25">CONCATENATE(AN190," (",AM190,")")</f>
        <v xml:space="preserve"> (0)</v>
      </c>
      <c r="AP190" s="200">
        <v>0</v>
      </c>
      <c r="AQ190" s="196" t="str">
        <f t="shared" ref="AQ190:AQ214" si="26">IF(OR(ISNA(AP190),AP190=0),"",1)</f>
        <v/>
      </c>
      <c r="AS190" s="203" t="e">
        <f>VLOOKUP(AR188,#REF!,9,0)</f>
        <v>#VALUE!</v>
      </c>
      <c r="AT190" s="196" t="e">
        <f t="shared" ref="AT190:AT198" si="27">IF(OR(ISNA(AS190),AS190=0),"",1)</f>
        <v>#VALUE!</v>
      </c>
      <c r="AU190" s="1" t="e">
        <f>IF(OR(ISNA(AS190),AS190=0),PRAZDNE_1,VLOOKUP(AR189,#REF!,5,FALSE))</f>
        <v>#VALUE!</v>
      </c>
      <c r="BB190" s="48" t="e">
        <v>#REF!</v>
      </c>
      <c r="BC190" s="186" t="e">
        <v>#REF!</v>
      </c>
      <c r="BD190" s="48" t="e">
        <v>#REF!</v>
      </c>
      <c r="BE190" s="1" t="e">
        <f t="shared" si="23"/>
        <v>#REF!</v>
      </c>
      <c r="BF190" s="48" t="e">
        <v>#REF!</v>
      </c>
      <c r="BG190" s="48" t="e">
        <v>#REF!</v>
      </c>
    </row>
    <row r="191" spans="2:59" ht="18" customHeight="1">
      <c r="B191" s="80"/>
      <c r="D191" s="37"/>
      <c r="E191" s="44"/>
      <c r="F191" s="45"/>
      <c r="G191" s="45"/>
      <c r="H191" s="45"/>
      <c r="I191" s="45"/>
      <c r="J191" s="45"/>
      <c r="K191" s="45"/>
      <c r="L191" s="45"/>
      <c r="M191" s="45"/>
      <c r="N191" s="45"/>
      <c r="O191" s="45"/>
      <c r="P191" s="45"/>
      <c r="Q191" s="45"/>
      <c r="R191" s="34" t="s">
        <v>15</v>
      </c>
      <c r="S191" s="45"/>
      <c r="T191" s="45"/>
      <c r="U191" s="49"/>
      <c r="V191" s="46"/>
      <c r="W191" s="37"/>
      <c r="Y191" s="933"/>
      <c r="Z191" s="910"/>
      <c r="AA191" s="907">
        <f>IF(AC188=AV_HF,HM_UCH,
IF(AC189=AV_HL,HM_UCH,
IF('Běžné rámečky'!AC189=AV_HL_SD,HM_UCH,
IF(AC188=AV_HF_SD,HM_UCH,
IF(AC188=ZAVESY,TYP_PODL,IF(AC189=AV_HKXS,HM_UCH,0))))))</f>
        <v>0</v>
      </c>
      <c r="AB191" s="908"/>
      <c r="AC191" s="208"/>
      <c r="AD191" s="220" t="s">
        <v>1520</v>
      </c>
      <c r="AE191" s="170">
        <f>IF(AA191=HM_UCH,0,AC191)</f>
        <v>0</v>
      </c>
      <c r="AF191" s="87" t="str">
        <f>IF(AC185=$B$372,0,$J$353)</f>
        <v>Závěsy se zvedacím pístem</v>
      </c>
      <c r="AI191" s="191">
        <f>IF(AI188=1,$B$482,IF(AI188=2,$B$486,0))</f>
        <v>0</v>
      </c>
      <c r="AJ191" s="195" t="str">
        <f>IF(AC188=AV_OST,AV_HL,
IF(AC188=ZAVESY,STRONG_INT_TL,""))</f>
        <v/>
      </c>
      <c r="AK191" s="196" t="str">
        <f t="shared" si="22"/>
        <v/>
      </c>
      <c r="AL191" s="1">
        <v>3</v>
      </c>
      <c r="AM191" s="1">
        <f>IF(AC189=PRAZDNE_1,AI191,IF(AC189=BLUM,BC189,IF(AC189=STRONG_INT_TL,AI208,IF(AC189=STRONG_BINT_TL,AI204,IF(AC189=HETTICH,BB189,"")))))</f>
        <v>0</v>
      </c>
      <c r="AN191" s="1" t="str">
        <f t="shared" si="24"/>
        <v/>
      </c>
      <c r="AO191" s="1" t="str">
        <f t="shared" si="25"/>
        <v xml:space="preserve"> (0)</v>
      </c>
      <c r="AP191" s="200">
        <v>0</v>
      </c>
      <c r="AQ191" s="196" t="str">
        <f t="shared" si="26"/>
        <v/>
      </c>
      <c r="AS191" s="203" t="e">
        <f>VLOOKUP(AR188,#REF!,10,0)</f>
        <v>#VALUE!</v>
      </c>
      <c r="AT191" s="196" t="e">
        <f t="shared" si="27"/>
        <v>#VALUE!</v>
      </c>
      <c r="AU191" s="1" t="e">
        <f>IF(OR(ISNA(AS191),AS191=0),PRAZDNE_1,VLOOKUP(AR190,#REF!,5,FALSE))</f>
        <v>#VALUE!</v>
      </c>
      <c r="BB191" s="48" t="e">
        <v>#REF!</v>
      </c>
      <c r="BC191" s="186" t="e">
        <v>#REF!</v>
      </c>
      <c r="BD191" s="48" t="e">
        <v>#REF!</v>
      </c>
      <c r="BE191" s="1" t="e">
        <f t="shared" si="23"/>
        <v>#REF!</v>
      </c>
      <c r="BF191" s="48" t="e">
        <v>#REF!</v>
      </c>
      <c r="BG191" s="48" t="e">
        <v>#REF!</v>
      </c>
    </row>
    <row r="192" spans="2:59" ht="18" customHeight="1">
      <c r="B192" s="80"/>
      <c r="D192" s="37" t="b">
        <f>IF(AG216=2,IF(AC192=4,1,0))</f>
        <v>0</v>
      </c>
      <c r="E192" s="44"/>
      <c r="F192" s="45"/>
      <c r="G192" s="45"/>
      <c r="H192" s="45"/>
      <c r="I192" s="45"/>
      <c r="J192" s="45"/>
      <c r="K192" s="45"/>
      <c r="L192" s="45"/>
      <c r="M192" s="45"/>
      <c r="N192" s="45"/>
      <c r="O192" s="45"/>
      <c r="P192" s="45"/>
      <c r="Q192" s="45"/>
      <c r="R192" s="45"/>
      <c r="S192" s="50"/>
      <c r="T192" s="51"/>
      <c r="U192" s="49"/>
      <c r="V192" s="46"/>
      <c r="W192" s="37" t="b">
        <f>IF(AG216=1,IF(AC192=4,1,0))</f>
        <v>0</v>
      </c>
      <c r="X192" s="30"/>
      <c r="Y192" s="933"/>
      <c r="Z192" s="910"/>
      <c r="AA192" s="907">
        <f>IF(AC188=ZAVESY,POC_ZAVES,0)</f>
        <v>0</v>
      </c>
      <c r="AB192" s="908"/>
      <c r="AC192" s="207"/>
      <c r="AD192" s="167" t="s">
        <v>1194</v>
      </c>
      <c r="AE192" s="168"/>
      <c r="AI192" s="191">
        <f>IF(AI188=1,$B$483,IF(AI188=2,$B$487,0))</f>
        <v>0</v>
      </c>
      <c r="AJ192" s="195" t="str">
        <f>IF(AC188=AV_OST,AV_HL_SD,
IF(AC188=ZAVESY,STRONG_BINT_TL,""))</f>
        <v/>
      </c>
      <c r="AK192" s="196" t="str">
        <f t="shared" si="22"/>
        <v/>
      </c>
      <c r="AL192" s="1">
        <v>4</v>
      </c>
      <c r="AM192" s="1">
        <f>IF(AC189=PRAZDNE_1,AI192,IF(AC189=BLUM,BC190,IF(AC189=STRONG_INT_TL,AI209,IF(AC189=STRONG_BINT_TL,AI205,IF(AC189=HETTICH,BB190,"")))))</f>
        <v>0</v>
      </c>
      <c r="AN192" s="1" t="str">
        <f t="shared" si="24"/>
        <v/>
      </c>
      <c r="AO192" s="1" t="str">
        <f t="shared" si="25"/>
        <v xml:space="preserve"> (0)</v>
      </c>
      <c r="AP192" s="200">
        <v>0</v>
      </c>
      <c r="AQ192" s="196" t="str">
        <f t="shared" si="26"/>
        <v/>
      </c>
      <c r="AS192" s="203" t="e">
        <f>VLOOKUP(AR188,#REF!,11,0)</f>
        <v>#VALUE!</v>
      </c>
      <c r="AT192" s="196" t="e">
        <f t="shared" si="27"/>
        <v>#VALUE!</v>
      </c>
      <c r="BB192" s="48" t="e">
        <v>#REF!</v>
      </c>
      <c r="BC192" s="186" t="e">
        <v>#REF!</v>
      </c>
      <c r="BD192" s="48" t="e">
        <v>#REF!</v>
      </c>
      <c r="BE192" s="1" t="e">
        <f t="shared" si="23"/>
        <v>#REF!</v>
      </c>
      <c r="BF192" s="48" t="e">
        <v>#REF!</v>
      </c>
      <c r="BG192" s="48" t="e">
        <v>#REF!</v>
      </c>
    </row>
    <row r="193" spans="2:59" ht="18" customHeight="1">
      <c r="B193" s="80"/>
      <c r="D193" s="37"/>
      <c r="E193" s="44"/>
      <c r="F193" s="45"/>
      <c r="G193" s="45"/>
      <c r="H193" s="45"/>
      <c r="I193" s="45"/>
      <c r="J193" s="45"/>
      <c r="K193" s="45"/>
      <c r="L193" s="45"/>
      <c r="M193" s="45"/>
      <c r="N193" s="45"/>
      <c r="O193" s="45"/>
      <c r="P193" s="45"/>
      <c r="Q193" s="45"/>
      <c r="R193" s="45"/>
      <c r="S193" s="931"/>
      <c r="T193" s="51"/>
      <c r="U193" s="49"/>
      <c r="V193" s="46"/>
      <c r="W193" s="37"/>
      <c r="Y193" s="933"/>
      <c r="Z193" s="910"/>
      <c r="AA193" s="907">
        <f>IF(AC188=ZAVESY,VZD_ZAVES,0)</f>
        <v>0</v>
      </c>
      <c r="AB193" s="908"/>
      <c r="AC193" s="209"/>
      <c r="AD193" s="167" t="s">
        <v>1195</v>
      </c>
      <c r="AE193" s="171"/>
      <c r="AF193" s="948"/>
      <c r="AI193" s="191">
        <f>IF(AI188=2,$B$488,0)</f>
        <v>0</v>
      </c>
      <c r="AJ193" s="195" t="str">
        <f>IF(AC188=AV_OST,AV_HS,
IF(AC188=ZAVESY,
IF(AI188=1,PANT_STRONG_PLUS_SLIM,PANT_STRONG_SLIM_BTL),""))</f>
        <v/>
      </c>
      <c r="AK193" s="196" t="str">
        <f t="shared" si="22"/>
        <v/>
      </c>
      <c r="AL193" s="1">
        <v>5</v>
      </c>
      <c r="AM193" s="1">
        <f>IF(AC189=PRAZDNE_1,AI193,IF(AC189=BLUM,BC191,IF(AC189=HETTICH,BB191,"")))</f>
        <v>0</v>
      </c>
      <c r="AN193" s="1" t="str">
        <f t="shared" si="24"/>
        <v/>
      </c>
      <c r="AO193" s="1" t="str">
        <f t="shared" si="25"/>
        <v xml:space="preserve"> (0)</v>
      </c>
      <c r="AP193" s="200">
        <v>0</v>
      </c>
      <c r="AQ193" s="196" t="str">
        <f t="shared" si="26"/>
        <v/>
      </c>
      <c r="AS193" s="203" t="e">
        <f>VLOOKUP(AR188,#REF!,12,0)</f>
        <v>#VALUE!</v>
      </c>
      <c r="AT193" s="196" t="e">
        <f t="shared" si="27"/>
        <v>#VALUE!</v>
      </c>
      <c r="BB193" s="48" t="e">
        <v>#REF!</v>
      </c>
      <c r="BC193" s="186" t="e">
        <v>#REF!</v>
      </c>
      <c r="BD193" s="48" t="e">
        <v>#REF!</v>
      </c>
      <c r="BE193" s="1" t="e">
        <f t="shared" si="23"/>
        <v>#REF!</v>
      </c>
      <c r="BF193" s="48" t="e">
        <v>#REF!</v>
      </c>
      <c r="BG193" s="48" t="e">
        <v>#REF!</v>
      </c>
    </row>
    <row r="194" spans="2:59" ht="24.75" customHeight="1" thickBot="1">
      <c r="B194" s="80"/>
      <c r="D194" s="37"/>
      <c r="E194" s="44"/>
      <c r="F194" s="45"/>
      <c r="G194" s="45"/>
      <c r="H194" s="45"/>
      <c r="I194" s="45"/>
      <c r="J194" s="45"/>
      <c r="K194" s="45"/>
      <c r="L194" s="45"/>
      <c r="M194" s="45"/>
      <c r="N194" s="45"/>
      <c r="O194" s="45"/>
      <c r="P194" s="45"/>
      <c r="Q194" s="45"/>
      <c r="R194" s="45"/>
      <c r="S194" s="931"/>
      <c r="T194" s="51"/>
      <c r="U194" s="49"/>
      <c r="V194" s="46"/>
      <c r="W194" s="37"/>
      <c r="Y194" s="933"/>
      <c r="Z194" s="910"/>
      <c r="AA194" s="188"/>
      <c r="AB194" s="189"/>
      <c r="AC194" s="210"/>
      <c r="AD194" s="221"/>
      <c r="AE194" s="172"/>
      <c r="AF194" s="948"/>
      <c r="AI194" s="192">
        <f>IF(AI188=2,$B$489,0)</f>
        <v>0</v>
      </c>
      <c r="AJ194" s="195" t="str">
        <f>IF(AC188=AV_OST,AV_HS_SD,"")</f>
        <v/>
      </c>
      <c r="AK194" s="196" t="str">
        <f t="shared" si="22"/>
        <v/>
      </c>
      <c r="AL194" s="1">
        <v>6</v>
      </c>
      <c r="AM194" s="1">
        <f>IF(AC189=PRAZDNE_1,AI194,IF(AC189=BLUM,BC192,IF(AC189=HETTICH,BB192,"")))</f>
        <v>0</v>
      </c>
      <c r="AN194" s="1" t="str">
        <f t="shared" si="24"/>
        <v/>
      </c>
      <c r="AO194" s="1" t="str">
        <f t="shared" si="25"/>
        <v xml:space="preserve"> (0)</v>
      </c>
      <c r="AP194" s="200">
        <v>0</v>
      </c>
      <c r="AQ194" s="196" t="str">
        <f t="shared" si="26"/>
        <v/>
      </c>
      <c r="AS194" s="203" t="e">
        <f>VLOOKUP(AR188,#REF!,13,0)</f>
        <v>#VALUE!</v>
      </c>
      <c r="AT194" s="196" t="e">
        <f t="shared" si="27"/>
        <v>#VALUE!</v>
      </c>
      <c r="BB194" s="48" t="e">
        <v>#REF!</v>
      </c>
      <c r="BC194" s="186" t="e">
        <v>#REF!</v>
      </c>
      <c r="BD194" s="48" t="e">
        <v>#REF!</v>
      </c>
      <c r="BE194" s="1" t="e">
        <f t="shared" si="23"/>
        <v>#REF!</v>
      </c>
      <c r="BF194" s="48" t="e">
        <v>#REF!</v>
      </c>
      <c r="BG194" s="48" t="e">
        <v>#REF!</v>
      </c>
    </row>
    <row r="195" spans="2:59" ht="18.75" customHeight="1">
      <c r="B195" s="80"/>
      <c r="D195" s="37"/>
      <c r="E195" s="44"/>
      <c r="F195" s="45"/>
      <c r="G195" s="45"/>
      <c r="H195" s="45"/>
      <c r="I195" s="45"/>
      <c r="J195" s="45"/>
      <c r="K195" s="45"/>
      <c r="L195" s="45"/>
      <c r="M195" s="45"/>
      <c r="N195" s="45"/>
      <c r="O195" s="45"/>
      <c r="P195" s="45"/>
      <c r="Q195" s="45"/>
      <c r="R195" s="45"/>
      <c r="S195" s="931"/>
      <c r="T195" s="51"/>
      <c r="U195" s="49"/>
      <c r="V195" s="46"/>
      <c r="W195" s="37"/>
      <c r="Y195" s="933"/>
      <c r="Z195" s="910"/>
      <c r="AA195" s="188"/>
      <c r="AB195" s="189"/>
      <c r="AC195" s="210"/>
      <c r="AD195" s="221"/>
      <c r="AE195" s="172"/>
      <c r="AF195" s="948"/>
      <c r="AI195" s="190">
        <f>IF(AI188=1,$B$499,IF(AI188=2,$B$507,0))</f>
        <v>0</v>
      </c>
      <c r="AJ195" s="195" t="str">
        <f>IF(AC188=AV_OST,AV_HKS,"")</f>
        <v/>
      </c>
      <c r="AK195" s="196" t="str">
        <f t="shared" si="22"/>
        <v/>
      </c>
      <c r="AL195" s="1">
        <v>7</v>
      </c>
      <c r="AM195" s="1" t="str">
        <f>IF(AC189=HETTICH,BB193,IF(AC189=BLUM,BC193,""))</f>
        <v/>
      </c>
      <c r="AN195" s="1" t="str">
        <f t="shared" si="24"/>
        <v/>
      </c>
      <c r="AO195" s="1" t="str">
        <f t="shared" si="25"/>
        <v xml:space="preserve"> ()</v>
      </c>
      <c r="AP195" s="200">
        <v>0</v>
      </c>
      <c r="AQ195" s="196" t="str">
        <f t="shared" si="26"/>
        <v/>
      </c>
      <c r="AS195" s="203"/>
      <c r="AT195" s="196" t="str">
        <f t="shared" si="27"/>
        <v/>
      </c>
      <c r="BB195" s="48" t="e">
        <v>#REF!</v>
      </c>
      <c r="BC195" s="186" t="e">
        <v>#REF!</v>
      </c>
      <c r="BD195" s="48" t="e">
        <v>#REF!</v>
      </c>
      <c r="BE195" s="1" t="e">
        <f t="shared" si="23"/>
        <v>#REF!</v>
      </c>
      <c r="BF195" s="48" t="e">
        <v>#REF!</v>
      </c>
      <c r="BG195" s="48" t="e">
        <v>#REF!</v>
      </c>
    </row>
    <row r="196" spans="2:59" ht="18" customHeight="1">
      <c r="B196" s="80"/>
      <c r="D196" s="37" t="b">
        <f>IF(AG216=2,IF(AC192=3,1,0))</f>
        <v>0</v>
      </c>
      <c r="E196" s="44"/>
      <c r="F196" s="45"/>
      <c r="G196" s="45"/>
      <c r="H196" s="45"/>
      <c r="I196" s="45"/>
      <c r="J196" s="45"/>
      <c r="K196" s="45"/>
      <c r="L196" s="45"/>
      <c r="M196" s="45"/>
      <c r="N196" s="45"/>
      <c r="O196" s="45"/>
      <c r="P196" s="45"/>
      <c r="Q196" s="45"/>
      <c r="R196" s="45"/>
      <c r="S196" s="931"/>
      <c r="T196" s="51"/>
      <c r="U196" s="49"/>
      <c r="V196" s="46"/>
      <c r="W196" s="37" t="b">
        <f>IF(AG216=1,IF(AC192=3,1,0))</f>
        <v>0</v>
      </c>
      <c r="Y196" s="933"/>
      <c r="Z196" s="910"/>
      <c r="AA196" s="907">
        <f>IF(AC188=ZAVESY,Ceny!$B$196,0)</f>
        <v>0</v>
      </c>
      <c r="AB196" s="908"/>
      <c r="AC196" s="207"/>
      <c r="AD196" s="167" t="s">
        <v>1196</v>
      </c>
      <c r="AE196" s="168"/>
      <c r="AG196" s="1">
        <v>2</v>
      </c>
      <c r="AH196" s="1">
        <f>IF(AC188=ZAVESY,AG196,0)</f>
        <v>0</v>
      </c>
      <c r="AI196" s="191">
        <f>IF(AI188=1,$B$500,IF(AI188=2,$B$508,0))</f>
        <v>0</v>
      </c>
      <c r="AJ196" s="195" t="str">
        <f>IF(AC188=AV_OST,AV_HKS_TIP,"")</f>
        <v/>
      </c>
      <c r="AK196" s="196" t="str">
        <f t="shared" si="22"/>
        <v/>
      </c>
      <c r="AL196" s="1">
        <v>8</v>
      </c>
      <c r="AM196" s="1" t="str">
        <f>IF(AC189=HETTICH,BB194,IF(AC189=BLUM,BC194,""))</f>
        <v/>
      </c>
      <c r="AN196" s="1" t="str">
        <f t="shared" si="24"/>
        <v/>
      </c>
      <c r="AO196" s="1" t="str">
        <f t="shared" si="25"/>
        <v xml:space="preserve"> ()</v>
      </c>
      <c r="AP196" s="200">
        <v>0</v>
      </c>
      <c r="AQ196" s="196" t="str">
        <f t="shared" si="26"/>
        <v/>
      </c>
      <c r="AS196" s="203"/>
      <c r="AT196" s="196" t="str">
        <f t="shared" si="27"/>
        <v/>
      </c>
      <c r="BB196" s="48" t="e">
        <v>#REF!</v>
      </c>
      <c r="BC196" s="186" t="e">
        <v>#REF!</v>
      </c>
      <c r="BD196" s="48" t="e">
        <v>#REF!</v>
      </c>
      <c r="BE196" s="1" t="e">
        <f t="shared" si="23"/>
        <v>#REF!</v>
      </c>
      <c r="BF196" s="48" t="e">
        <v>#REF!</v>
      </c>
      <c r="BG196" s="48" t="e">
        <v>#REF!</v>
      </c>
    </row>
    <row r="197" spans="2:59" ht="18" customHeight="1">
      <c r="B197" s="80"/>
      <c r="D197" s="37"/>
      <c r="E197" s="44"/>
      <c r="F197" s="45"/>
      <c r="G197" s="45"/>
      <c r="H197" s="45"/>
      <c r="I197" s="45"/>
      <c r="J197" s="45"/>
      <c r="K197" s="45"/>
      <c r="L197" s="45"/>
      <c r="M197" s="45"/>
      <c r="N197" s="45"/>
      <c r="O197" s="45"/>
      <c r="P197" s="45"/>
      <c r="Q197" s="45"/>
      <c r="R197" s="45"/>
      <c r="S197" s="904"/>
      <c r="T197" s="51"/>
      <c r="U197" s="49"/>
      <c r="V197" s="46"/>
      <c r="W197" s="37"/>
      <c r="Y197" s="933"/>
      <c r="Z197" s="910"/>
      <c r="AA197" s="907">
        <f>IF(AG216=1,0,IF(AG216=2,0,IF(AC188=ZAVESY,IF(BD184,0,Ceny!$B$184),0)))</f>
        <v>0</v>
      </c>
      <c r="AB197" s="908"/>
      <c r="AC197" s="152"/>
      <c r="AD197" s="167" t="s">
        <v>1521</v>
      </c>
      <c r="AE197" s="168"/>
      <c r="AF197" s="87" t="b">
        <v>1</v>
      </c>
      <c r="AG197" s="1">
        <v>3</v>
      </c>
      <c r="AH197" s="1">
        <f>IF(AC188=ZAVESY,AG197,0)</f>
        <v>0</v>
      </c>
      <c r="AI197" s="191">
        <f>IF(AI188=1,$B$501,IF(AI188=2,$B$509,0))</f>
        <v>0</v>
      </c>
      <c r="AJ197" s="195" t="str">
        <f>IF(AC188=AV_OST,AV_HKXS,"")</f>
        <v/>
      </c>
      <c r="AK197" s="196" t="str">
        <f t="shared" si="22"/>
        <v/>
      </c>
      <c r="AL197" s="1">
        <v>9</v>
      </c>
      <c r="AM197" s="1" t="str">
        <f>IF(AC189=HETTICH,BB195,IF(AC189=BLUM,BC195,""))</f>
        <v/>
      </c>
      <c r="AN197" s="1" t="str">
        <f t="shared" si="24"/>
        <v/>
      </c>
      <c r="AO197" s="1" t="str">
        <f t="shared" si="25"/>
        <v xml:space="preserve"> ()</v>
      </c>
      <c r="AP197" s="200">
        <v>0</v>
      </c>
      <c r="AQ197" s="196" t="str">
        <f t="shared" si="26"/>
        <v/>
      </c>
      <c r="AS197" s="203"/>
      <c r="AT197" s="196" t="str">
        <f t="shared" si="27"/>
        <v/>
      </c>
      <c r="BB197" s="48" t="e">
        <v>#REF!</v>
      </c>
      <c r="BC197" s="186" t="e">
        <v>#REF!</v>
      </c>
      <c r="BD197" s="48" t="e">
        <v>#REF!</v>
      </c>
      <c r="BE197" s="1" t="e">
        <f t="shared" si="23"/>
        <v>#REF!</v>
      </c>
      <c r="BF197" s="48" t="e">
        <v>#REF!</v>
      </c>
      <c r="BG197" s="48" t="e">
        <v>#REF!</v>
      </c>
    </row>
    <row r="198" spans="2:59" ht="18" customHeight="1" thickBot="1">
      <c r="B198" s="80"/>
      <c r="D198" s="37" t="b">
        <f>IF(AG216=2,IF(AC192=4,1,0))</f>
        <v>0</v>
      </c>
      <c r="E198" s="44"/>
      <c r="F198" s="45"/>
      <c r="G198" s="45"/>
      <c r="H198" s="45"/>
      <c r="I198" s="45"/>
      <c r="J198" s="45"/>
      <c r="K198" s="45"/>
      <c r="L198" s="45"/>
      <c r="M198" s="45"/>
      <c r="N198" s="45"/>
      <c r="O198" s="45"/>
      <c r="P198" s="45"/>
      <c r="Q198" s="45"/>
      <c r="R198" s="45"/>
      <c r="S198" s="51"/>
      <c r="T198" s="51"/>
      <c r="U198" s="49"/>
      <c r="V198" s="46"/>
      <c r="W198" s="37" t="b">
        <f>IF(AG216=1,IF(AC192=4,1,0))</f>
        <v>0</v>
      </c>
      <c r="Y198" s="943" t="str">
        <f>Ceny_n!$B$136</f>
        <v>Výška</v>
      </c>
      <c r="Z198" s="910"/>
      <c r="AA198" s="946">
        <f>IF(AC197=0,0,Ceny!$B$186)</f>
        <v>0</v>
      </c>
      <c r="AB198" s="947"/>
      <c r="AC198" s="153"/>
      <c r="AD198" s="167" t="s">
        <v>1198</v>
      </c>
      <c r="AE198" s="168"/>
      <c r="AG198" s="1">
        <v>4</v>
      </c>
      <c r="AH198" s="1">
        <f>IF(AC188=ZAVESY,AG198,0)</f>
        <v>0</v>
      </c>
      <c r="AI198" s="191">
        <f>IF(AI188=1,$B$502,IF(AI188=2,$B$510,0))</f>
        <v>0</v>
      </c>
      <c r="AJ198" s="197" t="str">
        <f>IF(AC188=AV_OST,AV_HKXS_TIP,"")</f>
        <v/>
      </c>
      <c r="AK198" s="198" t="str">
        <f t="shared" si="22"/>
        <v/>
      </c>
      <c r="AL198" s="1">
        <v>10</v>
      </c>
      <c r="AM198" s="1" t="str">
        <f>IF(AC189=HETTICH,BB196,IF(AC189=BLUM,BC196,""))</f>
        <v/>
      </c>
      <c r="AN198" s="1" t="str">
        <f t="shared" si="24"/>
        <v/>
      </c>
      <c r="AO198" s="1" t="str">
        <f t="shared" si="25"/>
        <v xml:space="preserve"> ()</v>
      </c>
      <c r="AP198" s="200">
        <v>0</v>
      </c>
      <c r="AQ198" s="196" t="str">
        <f t="shared" si="26"/>
        <v/>
      </c>
      <c r="AS198" s="204"/>
      <c r="AT198" s="198" t="str">
        <f t="shared" si="27"/>
        <v/>
      </c>
      <c r="BB198" s="48" t="e">
        <v>#REF!</v>
      </c>
      <c r="BC198" s="186" t="e">
        <v>#REF!</v>
      </c>
      <c r="BD198" s="48" t="e">
        <v>#REF!</v>
      </c>
      <c r="BE198" s="1" t="e">
        <f t="shared" si="23"/>
        <v>#REF!</v>
      </c>
      <c r="BF198" s="48" t="e">
        <v>#REF!</v>
      </c>
      <c r="BG198" s="48" t="e">
        <v>#REF!</v>
      </c>
    </row>
    <row r="199" spans="2:59" ht="3" customHeight="1">
      <c r="B199" s="80"/>
      <c r="D199" s="37"/>
      <c r="E199" s="44"/>
      <c r="F199" s="45"/>
      <c r="G199" s="45"/>
      <c r="H199" s="45"/>
      <c r="I199" s="45"/>
      <c r="J199" s="45"/>
      <c r="K199" s="45"/>
      <c r="L199" s="45"/>
      <c r="M199" s="45"/>
      <c r="N199" s="45"/>
      <c r="O199" s="45"/>
      <c r="P199" s="45"/>
      <c r="Q199" s="45"/>
      <c r="R199" s="45"/>
      <c r="S199" s="51"/>
      <c r="T199" s="51"/>
      <c r="U199" s="49"/>
      <c r="V199" s="46"/>
      <c r="W199" s="37"/>
      <c r="Y199" s="943"/>
      <c r="Z199" s="910"/>
      <c r="AA199" s="934"/>
      <c r="AB199" s="921" t="str">
        <f>Ceny_n!$B$185</f>
        <v>Dodat včetně uvedeného kování</v>
      </c>
      <c r="AC199" s="922"/>
      <c r="AD199" s="222"/>
      <c r="AE199" s="173"/>
      <c r="AG199" s="1">
        <v>5</v>
      </c>
      <c r="AH199" s="1">
        <f>IF(AC188=ZAVESY,AG199,0)</f>
        <v>0</v>
      </c>
      <c r="AI199" s="48">
        <f>IF(AI188=1,$B$503,IF(AI188=2,$B$511,0))</f>
        <v>0</v>
      </c>
      <c r="AK199" s="1" t="str">
        <f t="shared" si="22"/>
        <v/>
      </c>
      <c r="AL199" s="1">
        <v>11</v>
      </c>
      <c r="AM199" s="1">
        <f>IF(AC189=HETTICH,BB197,IF(AC189=BLUM,BC197,))</f>
        <v>0</v>
      </c>
      <c r="AN199" s="1" t="str">
        <f t="shared" si="24"/>
        <v/>
      </c>
      <c r="AO199" s="1" t="str">
        <f t="shared" si="25"/>
        <v xml:space="preserve"> (0)</v>
      </c>
      <c r="AP199" s="200">
        <v>0</v>
      </c>
      <c r="AQ199" s="196" t="str">
        <f t="shared" si="26"/>
        <v/>
      </c>
      <c r="BB199" s="48" t="e">
        <v>#REF!</v>
      </c>
      <c r="BC199" s="186" t="e">
        <v>#REF!</v>
      </c>
      <c r="BD199" s="48" t="e">
        <v>#REF!</v>
      </c>
      <c r="BE199" s="1" t="e">
        <f t="shared" si="23"/>
        <v>#REF!</v>
      </c>
      <c r="BF199" s="48" t="e">
        <v>#REF!</v>
      </c>
      <c r="BG199" s="48" t="e">
        <v>#REF!</v>
      </c>
    </row>
    <row r="200" spans="2:59" ht="15.75" customHeight="1">
      <c r="B200" s="80"/>
      <c r="D200" s="37"/>
      <c r="E200" s="44"/>
      <c r="F200" s="45"/>
      <c r="G200" s="45"/>
      <c r="H200" s="45"/>
      <c r="I200" s="45"/>
      <c r="J200" s="45"/>
      <c r="K200" s="45"/>
      <c r="L200" s="45"/>
      <c r="M200" s="45"/>
      <c r="N200" s="45"/>
      <c r="O200" s="45"/>
      <c r="P200" s="45"/>
      <c r="Q200" s="45"/>
      <c r="R200" s="45"/>
      <c r="S200" s="45"/>
      <c r="T200" s="45"/>
      <c r="U200" s="45"/>
      <c r="V200" s="46"/>
      <c r="W200" s="37"/>
      <c r="Y200" s="943"/>
      <c r="Z200" s="910"/>
      <c r="AA200" s="935"/>
      <c r="AB200" s="923"/>
      <c r="AC200" s="924"/>
      <c r="AD200" s="222"/>
      <c r="AE200" s="173"/>
      <c r="AI200" s="48">
        <f>IF(AI188=1,$B$504,IF(AI188=2,$B$513,0))</f>
        <v>0</v>
      </c>
      <c r="AL200" s="1">
        <v>12</v>
      </c>
      <c r="AM200" s="1" t="str">
        <f>IF(AC189=HETTICH,BB198,IF(AC189=BLUM,BC198,""))</f>
        <v/>
      </c>
      <c r="AN200" s="1" t="str">
        <f t="shared" si="24"/>
        <v/>
      </c>
      <c r="AO200" s="1" t="str">
        <f t="shared" si="25"/>
        <v xml:space="preserve"> ()</v>
      </c>
      <c r="AP200" s="200">
        <v>0</v>
      </c>
      <c r="AQ200" s="196" t="str">
        <f t="shared" si="26"/>
        <v/>
      </c>
      <c r="BB200" s="48" t="e">
        <v>#REF!</v>
      </c>
      <c r="BC200" s="186" t="e">
        <v>#REF!</v>
      </c>
      <c r="BD200" s="48" t="e">
        <v>#REF!</v>
      </c>
      <c r="BE200" s="1" t="e">
        <f t="shared" si="23"/>
        <v>#REF!</v>
      </c>
      <c r="BF200" s="48" t="e">
        <v>#REF!</v>
      </c>
      <c r="BG200" s="48" t="e">
        <v>#REF!</v>
      </c>
    </row>
    <row r="201" spans="2:59" ht="3.75" customHeight="1" thickBot="1">
      <c r="B201" s="80"/>
      <c r="D201" s="37"/>
      <c r="E201" s="44"/>
      <c r="F201" s="45"/>
      <c r="G201" s="45"/>
      <c r="H201" s="45"/>
      <c r="I201" s="45"/>
      <c r="J201" s="45"/>
      <c r="K201" s="45"/>
      <c r="L201" s="45"/>
      <c r="M201" s="45"/>
      <c r="N201" s="45"/>
      <c r="O201" s="45"/>
      <c r="P201" s="45"/>
      <c r="Q201" s="45"/>
      <c r="R201" s="45"/>
      <c r="S201" s="45"/>
      <c r="T201" s="45"/>
      <c r="U201" s="939"/>
      <c r="V201" s="46"/>
      <c r="W201" s="37"/>
      <c r="Y201" s="943"/>
      <c r="Z201" s="910"/>
      <c r="AA201" s="935"/>
      <c r="AB201" s="923"/>
      <c r="AC201" s="924"/>
      <c r="AD201" s="222"/>
      <c r="AE201" s="173"/>
      <c r="AI201" s="52">
        <f>IF(AI188=1,$B$506,0)</f>
        <v>0</v>
      </c>
      <c r="AL201" s="1">
        <v>13</v>
      </c>
      <c r="AM201" s="180"/>
      <c r="AN201" s="1" t="str">
        <f t="shared" si="24"/>
        <v/>
      </c>
      <c r="AO201" s="1" t="str">
        <f t="shared" si="25"/>
        <v xml:space="preserve"> ()</v>
      </c>
      <c r="AP201" s="200">
        <v>0</v>
      </c>
      <c r="AQ201" s="196" t="str">
        <f t="shared" si="26"/>
        <v/>
      </c>
      <c r="BB201" s="48" t="e">
        <v>#REF!</v>
      </c>
      <c r="BC201" s="186" t="e">
        <v>#REF!</v>
      </c>
      <c r="BD201" s="48" t="e">
        <v>#REF!</v>
      </c>
      <c r="BE201" s="1" t="e">
        <f t="shared" si="23"/>
        <v>#REF!</v>
      </c>
      <c r="BF201" s="48" t="e">
        <v>#REF!</v>
      </c>
      <c r="BG201" s="48" t="e">
        <v>#REF!</v>
      </c>
    </row>
    <row r="202" spans="2:59" ht="12" customHeight="1">
      <c r="B202" s="80"/>
      <c r="D202" s="37"/>
      <c r="E202" s="44"/>
      <c r="F202" s="45"/>
      <c r="G202" s="45"/>
      <c r="H202" s="45"/>
      <c r="I202" s="45"/>
      <c r="J202" s="45"/>
      <c r="K202" s="45"/>
      <c r="L202" s="45"/>
      <c r="M202" s="45"/>
      <c r="N202" s="45"/>
      <c r="O202" s="45"/>
      <c r="P202" s="45"/>
      <c r="Q202" s="45"/>
      <c r="R202" s="45"/>
      <c r="S202" s="45"/>
      <c r="T202" s="45"/>
      <c r="U202" s="940"/>
      <c r="V202" s="46"/>
      <c r="W202" s="37"/>
      <c r="Y202" s="943"/>
      <c r="Z202" s="910"/>
      <c r="AA202" s="936"/>
      <c r="AB202" s="925"/>
      <c r="AC202" s="926"/>
      <c r="AD202" s="222"/>
      <c r="AE202" s="173"/>
      <c r="AI202" s="47">
        <f>IF(AI188=2,$B$520,0)</f>
        <v>0</v>
      </c>
      <c r="AL202" s="1">
        <v>14</v>
      </c>
      <c r="AN202" s="1" t="str">
        <f t="shared" si="24"/>
        <v/>
      </c>
      <c r="AO202" s="1" t="str">
        <f t="shared" si="25"/>
        <v xml:space="preserve"> ()</v>
      </c>
      <c r="AP202" s="200">
        <v>0</v>
      </c>
      <c r="AQ202" s="196" t="str">
        <f t="shared" si="26"/>
        <v/>
      </c>
      <c r="BB202" s="48" t="e">
        <v>#REF!</v>
      </c>
      <c r="BC202" s="186" t="e">
        <v>#REF!</v>
      </c>
      <c r="BD202" s="48" t="e">
        <v>#REF!</v>
      </c>
      <c r="BE202" s="1" t="e">
        <f t="shared" si="23"/>
        <v>#REF!</v>
      </c>
      <c r="BF202" s="48" t="e">
        <v>#REF!</v>
      </c>
      <c r="BG202" s="48" t="e">
        <v>#REF!</v>
      </c>
    </row>
    <row r="203" spans="2:59" ht="27" thickBot="1">
      <c r="B203" s="80"/>
      <c r="D203" s="37"/>
      <c r="E203" s="44"/>
      <c r="F203" s="45"/>
      <c r="G203" s="45"/>
      <c r="H203" s="45"/>
      <c r="I203" s="45"/>
      <c r="J203" s="45"/>
      <c r="K203" s="45"/>
      <c r="L203" s="45"/>
      <c r="M203" s="45"/>
      <c r="N203" s="45"/>
      <c r="O203" s="45"/>
      <c r="P203" s="45"/>
      <c r="Q203" s="45"/>
      <c r="R203" s="32" t="s">
        <v>15</v>
      </c>
      <c r="S203" s="45"/>
      <c r="T203" s="45"/>
      <c r="U203" s="45"/>
      <c r="V203" s="46"/>
      <c r="W203" s="37"/>
      <c r="Y203" s="943"/>
      <c r="Z203" s="910"/>
      <c r="AC203" s="76"/>
      <c r="AI203" s="48">
        <f>IF(AI188=2,$B$521,0)</f>
        <v>0</v>
      </c>
      <c r="AL203" s="1">
        <v>15</v>
      </c>
      <c r="AN203" s="1" t="str">
        <f t="shared" si="24"/>
        <v/>
      </c>
      <c r="AO203" s="1" t="str">
        <f t="shared" si="25"/>
        <v xml:space="preserve"> ()</v>
      </c>
      <c r="AP203" s="200">
        <v>0</v>
      </c>
      <c r="AQ203" s="196" t="str">
        <f t="shared" si="26"/>
        <v/>
      </c>
      <c r="BB203" s="48" t="e">
        <v>#REF!</v>
      </c>
      <c r="BC203" s="186" t="e">
        <v>#REF!</v>
      </c>
      <c r="BD203" s="48" t="e">
        <v>#REF!</v>
      </c>
      <c r="BE203" s="1" t="e">
        <f t="shared" si="23"/>
        <v>#REF!</v>
      </c>
      <c r="BF203" s="52" t="e">
        <v>#REF!</v>
      </c>
      <c r="BG203" s="52" t="e">
        <v>#REF!</v>
      </c>
    </row>
    <row r="204" spans="2:59" ht="5.25" customHeight="1" thickBot="1">
      <c r="B204" s="80"/>
      <c r="D204" s="37"/>
      <c r="E204" s="44"/>
      <c r="F204" s="45"/>
      <c r="G204" s="45"/>
      <c r="H204" s="45"/>
      <c r="I204" s="45"/>
      <c r="J204" s="45"/>
      <c r="K204" s="45"/>
      <c r="L204" s="45"/>
      <c r="M204" s="45"/>
      <c r="N204" s="45"/>
      <c r="O204" s="45"/>
      <c r="P204" s="45"/>
      <c r="Q204" s="45"/>
      <c r="R204" s="32"/>
      <c r="S204" s="45"/>
      <c r="T204" s="45"/>
      <c r="U204" s="45"/>
      <c r="V204" s="46"/>
      <c r="W204" s="37"/>
      <c r="Y204" s="943"/>
      <c r="Z204" s="910"/>
      <c r="AA204" s="85"/>
      <c r="AC204" s="76"/>
      <c r="AI204" s="48">
        <f>IF(AI188=2,$B$522,0)</f>
        <v>0</v>
      </c>
      <c r="AL204" s="1">
        <v>16</v>
      </c>
      <c r="AO204" s="1" t="str">
        <f t="shared" si="25"/>
        <v xml:space="preserve"> ()</v>
      </c>
      <c r="AP204" s="200">
        <v>0</v>
      </c>
      <c r="AQ204" s="196" t="str">
        <f t="shared" si="26"/>
        <v/>
      </c>
      <c r="BB204" s="52" t="e">
        <v>#REF!</v>
      </c>
      <c r="BC204" s="187" t="e">
        <v>#REF!</v>
      </c>
      <c r="BD204" s="48" t="e">
        <v>#REF!</v>
      </c>
      <c r="BE204" s="1" t="e">
        <f t="shared" si="23"/>
        <v>#REF!</v>
      </c>
    </row>
    <row r="205" spans="2:59" ht="8.25" customHeight="1" thickBot="1">
      <c r="B205" s="80"/>
      <c r="D205" s="898">
        <f>IF(AG216=2,1,0)</f>
        <v>0</v>
      </c>
      <c r="E205" s="44"/>
      <c r="F205" s="45"/>
      <c r="G205" s="45"/>
      <c r="H205" s="45"/>
      <c r="I205" s="45"/>
      <c r="J205" s="45"/>
      <c r="K205" s="45"/>
      <c r="L205" s="45"/>
      <c r="M205" s="45"/>
      <c r="N205" s="45"/>
      <c r="O205" s="45"/>
      <c r="P205" s="45"/>
      <c r="Q205" s="45"/>
      <c r="R205" s="32"/>
      <c r="S205" s="45"/>
      <c r="T205" s="45"/>
      <c r="U205" s="45"/>
      <c r="V205" s="46"/>
      <c r="W205" s="898">
        <f>IF(AG216=1,1,0)</f>
        <v>0</v>
      </c>
      <c r="Y205" s="53"/>
      <c r="AC205" s="76"/>
      <c r="AI205" s="52">
        <f>IF(AI188=2,$B$523,0)</f>
        <v>0</v>
      </c>
      <c r="AL205" s="1">
        <v>17</v>
      </c>
      <c r="AO205" s="1" t="str">
        <f t="shared" si="25"/>
        <v xml:space="preserve"> ()</v>
      </c>
      <c r="AP205" s="200">
        <v>0</v>
      </c>
      <c r="AQ205" s="196" t="str">
        <f t="shared" si="26"/>
        <v/>
      </c>
      <c r="BC205"/>
      <c r="BD205" s="48" t="e">
        <v>#REF!</v>
      </c>
      <c r="BE205" s="1" t="e">
        <f t="shared" si="23"/>
        <v>#REF!</v>
      </c>
    </row>
    <row r="206" spans="2:59" ht="18" customHeight="1">
      <c r="B206" s="80"/>
      <c r="D206" s="898" t="e">
        <f>IF(#REF!=$Y$41,1,0)</f>
        <v>#REF!</v>
      </c>
      <c r="E206" s="44"/>
      <c r="F206" s="45"/>
      <c r="G206" s="108"/>
      <c r="H206" s="45"/>
      <c r="I206" s="36"/>
      <c r="J206" s="36"/>
      <c r="K206" s="36"/>
      <c r="L206" s="899"/>
      <c r="M206" s="900"/>
      <c r="N206" s="901"/>
      <c r="O206" s="45"/>
      <c r="P206" s="45"/>
      <c r="Q206" s="45"/>
      <c r="R206" s="32"/>
      <c r="S206" s="986"/>
      <c r="T206" s="54"/>
      <c r="U206" s="45"/>
      <c r="V206" s="33"/>
      <c r="W206" s="898" t="e">
        <f>IF(#REF!=$Y$41,1,0)</f>
        <v>#REF!</v>
      </c>
      <c r="Y206" s="55"/>
      <c r="AA206" s="870" t="str">
        <f>IF(OR(Y190&gt;2500,L214&gt;2500),MAX_ROZ_RAM,"")</f>
        <v/>
      </c>
      <c r="AB206" s="870"/>
      <c r="AC206" s="871"/>
      <c r="AI206" s="47">
        <f>IF(AI188=1,$B$530,IF(AI188=2,$B$531,0))</f>
        <v>0</v>
      </c>
      <c r="AL206" s="1">
        <v>18</v>
      </c>
      <c r="AO206" s="1" t="str">
        <f t="shared" si="25"/>
        <v xml:space="preserve"> ()</v>
      </c>
      <c r="AP206" s="200">
        <v>0</v>
      </c>
      <c r="AQ206" s="196" t="str">
        <f t="shared" si="26"/>
        <v/>
      </c>
      <c r="BC206"/>
      <c r="BD206" s="48" t="e">
        <v>#REF!</v>
      </c>
      <c r="BE206" s="1" t="e">
        <f t="shared" si="23"/>
        <v>#REF!</v>
      </c>
    </row>
    <row r="207" spans="2:59" ht="6" customHeight="1">
      <c r="B207" s="80"/>
      <c r="D207" s="902" t="str">
        <f>IF(D205=1,AC193,"")</f>
        <v/>
      </c>
      <c r="E207" s="44"/>
      <c r="F207" s="45"/>
      <c r="G207" s="56"/>
      <c r="H207" s="45"/>
      <c r="I207" s="36"/>
      <c r="J207" s="36"/>
      <c r="K207" s="36"/>
      <c r="L207" s="36"/>
      <c r="M207" s="56"/>
      <c r="N207" s="56"/>
      <c r="O207" s="45"/>
      <c r="P207" s="45"/>
      <c r="Q207" s="45"/>
      <c r="R207" s="32"/>
      <c r="S207" s="987"/>
      <c r="T207" s="54"/>
      <c r="U207" s="45"/>
      <c r="V207" s="33"/>
      <c r="W207" s="902" t="str">
        <f>IF(W205=1,AC193,"")</f>
        <v/>
      </c>
      <c r="Y207" s="55"/>
      <c r="AA207" s="870"/>
      <c r="AB207" s="870"/>
      <c r="AC207" s="871"/>
      <c r="AG207" s="1">
        <f>IF(AC198=$J$369,1,IF(AC198=$J$370,1,IF(AC198=$J$371,2,0)))</f>
        <v>0</v>
      </c>
      <c r="AI207" s="48">
        <f>IF(AI188=2,$B$532,0)</f>
        <v>0</v>
      </c>
      <c r="AL207" s="1">
        <v>19</v>
      </c>
      <c r="AO207" s="1" t="str">
        <f t="shared" si="25"/>
        <v xml:space="preserve"> ()</v>
      </c>
      <c r="AP207" s="200">
        <v>0</v>
      </c>
      <c r="AQ207" s="196" t="str">
        <f t="shared" si="26"/>
        <v/>
      </c>
      <c r="BC207"/>
      <c r="BD207" s="48" t="e">
        <v>#REF!</v>
      </c>
      <c r="BE207" s="1" t="e">
        <f t="shared" si="23"/>
        <v>#REF!</v>
      </c>
    </row>
    <row r="208" spans="2:59" ht="22.5" customHeight="1">
      <c r="B208" s="80"/>
      <c r="D208" s="902"/>
      <c r="E208" s="44"/>
      <c r="F208" s="45"/>
      <c r="G208" s="45"/>
      <c r="H208" s="45"/>
      <c r="I208" s="32" t="s">
        <v>15</v>
      </c>
      <c r="J208" s="36"/>
      <c r="K208" s="36"/>
      <c r="L208" s="36"/>
      <c r="M208" s="36"/>
      <c r="N208" s="36"/>
      <c r="O208" s="45"/>
      <c r="P208" s="32" t="s">
        <v>15</v>
      </c>
      <c r="Q208" s="36"/>
      <c r="R208" s="32"/>
      <c r="S208" s="988"/>
      <c r="T208" s="54"/>
      <c r="U208" s="32"/>
      <c r="V208" s="46"/>
      <c r="W208" s="902"/>
      <c r="Y208" s="55"/>
      <c r="AA208" s="870"/>
      <c r="AB208" s="870"/>
      <c r="AC208" s="871"/>
      <c r="AG208" s="1">
        <f>IF(AC197=0,0,VPRAVO)</f>
        <v>0</v>
      </c>
      <c r="AI208" s="48">
        <f>IF(AI188=2,$B$533,0)</f>
        <v>0</v>
      </c>
      <c r="AL208" s="1">
        <v>20</v>
      </c>
      <c r="AO208" s="1" t="str">
        <f t="shared" si="25"/>
        <v xml:space="preserve"> ()</v>
      </c>
      <c r="AP208" s="200">
        <v>0</v>
      </c>
      <c r="AQ208" s="196" t="str">
        <f t="shared" si="26"/>
        <v/>
      </c>
      <c r="BC208"/>
      <c r="BD208" s="48" t="e">
        <v>#REF!</v>
      </c>
      <c r="BE208" s="1" t="e">
        <f t="shared" si="23"/>
        <v>#REF!</v>
      </c>
    </row>
    <row r="209" spans="2:57" ht="27" thickBot="1">
      <c r="B209" s="80"/>
      <c r="D209" s="902"/>
      <c r="E209" s="44"/>
      <c r="F209" s="45"/>
      <c r="G209" s="45"/>
      <c r="H209" s="45"/>
      <c r="I209" s="36"/>
      <c r="J209" s="903"/>
      <c r="K209" s="36"/>
      <c r="L209" s="36"/>
      <c r="M209" s="36"/>
      <c r="N209" s="36"/>
      <c r="O209" s="45"/>
      <c r="P209" s="36"/>
      <c r="Q209" s="36"/>
      <c r="R209" s="45"/>
      <c r="S209" s="57"/>
      <c r="T209" s="57"/>
      <c r="U209" s="49"/>
      <c r="V209" s="46"/>
      <c r="W209" s="902"/>
      <c r="AA209" s="870" t="str">
        <f>IF(AC193=0,"",IF(AND(OR(AC185="Palio (elox.)",AC185="Siena (elox.)"),AC193&lt;80),MIN_POZ_ZAVES_80,IF(AC193&lt;70,MIN_POZ_ZAVES,"")))</f>
        <v/>
      </c>
      <c r="AB209" s="870"/>
      <c r="AC209" s="871"/>
      <c r="AG209" s="1">
        <f>IF(AC197=0,0,VLEVO)</f>
        <v>0</v>
      </c>
      <c r="AI209" s="52">
        <f>IF(AI188=2,$B$534,0)</f>
        <v>0</v>
      </c>
      <c r="AL209" s="1">
        <v>21</v>
      </c>
      <c r="AO209" s="1" t="str">
        <f t="shared" si="25"/>
        <v xml:space="preserve"> ()</v>
      </c>
      <c r="AP209" s="200">
        <v>0</v>
      </c>
      <c r="AQ209" s="196" t="str">
        <f t="shared" si="26"/>
        <v/>
      </c>
      <c r="BC209"/>
      <c r="BD209" s="48" t="e">
        <v>#REF!</v>
      </c>
      <c r="BE209" s="1" t="e">
        <f t="shared" si="23"/>
        <v>#REF!</v>
      </c>
    </row>
    <row r="210" spans="2:57" ht="26.25">
      <c r="B210" s="80"/>
      <c r="D210" s="902"/>
      <c r="E210" s="44"/>
      <c r="F210" s="45"/>
      <c r="G210" s="45"/>
      <c r="H210" s="45"/>
      <c r="I210" s="36"/>
      <c r="J210" s="904"/>
      <c r="K210" s="36"/>
      <c r="L210" s="36"/>
      <c r="M210" s="36"/>
      <c r="N210" s="36"/>
      <c r="O210" s="45"/>
      <c r="P210" s="36"/>
      <c r="Q210" s="36"/>
      <c r="R210" s="45"/>
      <c r="S210" s="58"/>
      <c r="T210" s="58"/>
      <c r="U210" s="49"/>
      <c r="V210" s="46"/>
      <c r="W210" s="902"/>
      <c r="AC210" s="76"/>
      <c r="AG210" s="1">
        <f>IF(AC197=0,0,OBE_STRANY)</f>
        <v>0</v>
      </c>
      <c r="AJ210" s="1">
        <f>IF(AC197=0,0,VLOOKUP(AC197,AI211:AJ224,2,0))</f>
        <v>0</v>
      </c>
      <c r="AL210" s="1">
        <v>22</v>
      </c>
      <c r="AO210" s="1" t="str">
        <f t="shared" si="25"/>
        <v xml:space="preserve"> ()</v>
      </c>
      <c r="AP210" s="200">
        <v>0</v>
      </c>
      <c r="AQ210" s="196" t="str">
        <f t="shared" si="26"/>
        <v/>
      </c>
      <c r="BD210" s="48" t="e">
        <v>#REF!</v>
      </c>
      <c r="BE210" s="1" t="e">
        <f t="shared" si="23"/>
        <v>#REF!</v>
      </c>
    </row>
    <row r="211" spans="2:57" ht="15.75" customHeight="1" thickBot="1">
      <c r="B211" s="80"/>
      <c r="D211" s="902"/>
      <c r="E211" s="59"/>
      <c r="F211" s="60"/>
      <c r="G211" s="60"/>
      <c r="H211" s="60"/>
      <c r="I211" s="35"/>
      <c r="J211" s="35"/>
      <c r="K211" s="35"/>
      <c r="L211" s="35"/>
      <c r="M211" s="35"/>
      <c r="N211" s="35"/>
      <c r="O211" s="60"/>
      <c r="P211" s="35"/>
      <c r="Q211" s="35"/>
      <c r="R211" s="60"/>
      <c r="S211" s="60"/>
      <c r="T211" s="60"/>
      <c r="U211" s="60"/>
      <c r="V211" s="61"/>
      <c r="W211" s="902"/>
      <c r="AC211" s="76"/>
      <c r="AH211" s="1">
        <f>IF(AA197=Ceny_n!$B$184,IF(AI188=1,Ceny!$F$919,IF(AI188=2,Ceny!$G$919,0)),0)</f>
        <v>0</v>
      </c>
      <c r="AI211" s="1">
        <f>IF(AG216=3,AH211,AH230)</f>
        <v>0</v>
      </c>
      <c r="AJ211" s="1">
        <f>IF(AC188=ZAVESY,Ceny!$E$948,0)</f>
        <v>0</v>
      </c>
      <c r="AL211" s="1">
        <v>22</v>
      </c>
      <c r="AO211" s="1" t="str">
        <f t="shared" si="25"/>
        <v xml:space="preserve"> ()</v>
      </c>
      <c r="AP211" s="200">
        <v>0</v>
      </c>
      <c r="AQ211" s="196" t="str">
        <f t="shared" si="26"/>
        <v/>
      </c>
      <c r="AS211" s="1" t="e">
        <f>VLOOKUP(AL211,Ceny!$B$963:$E$970,4,0)</f>
        <v>#N/A</v>
      </c>
      <c r="AY211" s="1" t="e">
        <f t="shared" ref="AY211:AY225" si="28">AJ211+AS211+AT211+AU211+AW211</f>
        <v>#N/A</v>
      </c>
      <c r="BD211" s="48" t="e">
        <v>#REF!</v>
      </c>
      <c r="BE211" s="1" t="e">
        <f t="shared" si="23"/>
        <v>#REF!</v>
      </c>
    </row>
    <row r="212" spans="2:57" ht="19.5" thickBot="1">
      <c r="B212" s="80"/>
      <c r="D212" s="905" t="str">
        <f>IF(H212=1,AC193,"")</f>
        <v/>
      </c>
      <c r="E212" s="906"/>
      <c r="F212" s="906"/>
      <c r="G212" s="906"/>
      <c r="H212" s="39">
        <f>IF(AG216=4,1,0)</f>
        <v>0</v>
      </c>
      <c r="I212" s="39"/>
      <c r="J212" s="39"/>
      <c r="K212" s="39" t="b">
        <f>IF(AG216=4,IF(AC192=4,1,0))</f>
        <v>0</v>
      </c>
      <c r="L212" s="39"/>
      <c r="M212" s="39" t="b">
        <f>IF(AG216=4,IF(AC192=3,1,0))</f>
        <v>0</v>
      </c>
      <c r="N212" s="39"/>
      <c r="O212" s="39" t="b">
        <f>IF(AG216=4,IF(AC192=4,1,0))</f>
        <v>0</v>
      </c>
      <c r="P212" s="39"/>
      <c r="Q212" s="39"/>
      <c r="R212" s="39">
        <f>IF(AG216=4,1,0)</f>
        <v>0</v>
      </c>
      <c r="S212" s="929" t="str">
        <f>IF(R212=1,AC193,"")</f>
        <v/>
      </c>
      <c r="T212" s="929"/>
      <c r="U212" s="929"/>
      <c r="V212" s="929"/>
      <c r="W212" s="930"/>
      <c r="Y212" s="40"/>
      <c r="Z212" s="157" t="str">
        <f>IF(OR(AC185=Ceny_n!$B$18,AC185=Ceny_n!$B$19,AC185=Ceny_n!$B$20),Ceny!$B$498,"")</f>
        <v/>
      </c>
      <c r="AC212" s="76"/>
      <c r="AG212" s="1">
        <f>IF(AC188=ZAVESY,VPRAVO,0)</f>
        <v>0</v>
      </c>
      <c r="AH212" s="1">
        <f>IF(AA197=Ceny_n!$B$184,IF(AI188=1,Ceny!$F$920,IF(AI188=2,Ceny!$G$920,0)),0)</f>
        <v>0</v>
      </c>
      <c r="AI212" s="1">
        <f>IF(AG216=3,AH212,AH231)</f>
        <v>0</v>
      </c>
      <c r="AJ212" s="1">
        <f>IF(AC188=ZAVESY,Ceny!$E$949,0)</f>
        <v>0</v>
      </c>
      <c r="AL212" s="1">
        <v>22</v>
      </c>
      <c r="AO212" s="1" t="str">
        <f t="shared" si="25"/>
        <v xml:space="preserve"> ()</v>
      </c>
      <c r="AP212" s="200">
        <v>0</v>
      </c>
      <c r="AQ212" s="196" t="str">
        <f t="shared" si="26"/>
        <v/>
      </c>
      <c r="AS212" s="1" t="e">
        <f>VLOOKUP(AL212,Ceny!$B$963:$E$970,4,0)</f>
        <v>#N/A</v>
      </c>
      <c r="AY212" s="1" t="e">
        <f t="shared" si="28"/>
        <v>#N/A</v>
      </c>
      <c r="BD212" s="48" t="e">
        <v>#REF!</v>
      </c>
      <c r="BE212" s="1" t="e">
        <f t="shared" si="23"/>
        <v>#REF!</v>
      </c>
    </row>
    <row r="213" spans="2:57" ht="6" customHeight="1">
      <c r="B213" s="80"/>
      <c r="AC213" s="76"/>
      <c r="AG213" s="1">
        <f>IF(AC188=ZAVESY,VLEVO,0)</f>
        <v>0</v>
      </c>
      <c r="AH213" s="1">
        <f>IF(AA197=Ceny_n!$B$184,IF(AI188=1,Ceny!$F$921,IF(AI188=2,Ceny!$G$921,0)),0)</f>
        <v>0</v>
      </c>
      <c r="AI213" s="1">
        <f>IF(AG216=3,AH213,AH232)</f>
        <v>0</v>
      </c>
      <c r="AJ213" s="1">
        <f>IF(AC188=ZAVESY,Ceny!$E$950,0)</f>
        <v>0</v>
      </c>
      <c r="AL213" s="1">
        <v>22</v>
      </c>
      <c r="AO213" s="1" t="str">
        <f t="shared" si="25"/>
        <v xml:space="preserve"> ()</v>
      </c>
      <c r="AP213" s="200">
        <v>0</v>
      </c>
      <c r="AQ213" s="196" t="str">
        <f t="shared" si="26"/>
        <v/>
      </c>
      <c r="AS213" s="1" t="e">
        <f>VLOOKUP(AL213,Ceny!$B$963:$E$970,4,0)</f>
        <v>#N/A</v>
      </c>
      <c r="AY213" s="1" t="e">
        <f t="shared" si="28"/>
        <v>#N/A</v>
      </c>
      <c r="BD213" s="48" t="e">
        <v>#REF!</v>
      </c>
      <c r="BE213" s="1" t="e">
        <f t="shared" si="23"/>
        <v>#REF!</v>
      </c>
    </row>
    <row r="214" spans="2:57" ht="20.25" customHeight="1" thickBot="1">
      <c r="B214" s="80"/>
      <c r="D214" s="40"/>
      <c r="E214" s="40"/>
      <c r="F214" s="40"/>
      <c r="G214" s="40"/>
      <c r="I214" s="884" t="str">
        <f>Ceny_n!$B$135</f>
        <v xml:space="preserve">Šířka </v>
      </c>
      <c r="J214" s="885"/>
      <c r="K214" s="885"/>
      <c r="L214" s="886"/>
      <c r="M214" s="886"/>
      <c r="N214" s="886"/>
      <c r="O214" s="886"/>
      <c r="P214" s="886"/>
      <c r="Q214" s="887"/>
      <c r="R214" s="40"/>
      <c r="S214" s="40"/>
      <c r="T214" s="40"/>
      <c r="U214" s="40"/>
      <c r="V214" s="40"/>
      <c r="W214" s="40"/>
      <c r="Z214" s="157" t="str">
        <f>IF(L214&gt;1500,Ceny!$B$290,IF(Y190&gt;1500,Ceny!$B$290,""))</f>
        <v/>
      </c>
      <c r="AC214" s="76"/>
      <c r="AG214" s="1">
        <f>IF(AC188=ZAVESY,NAHORE,0)</f>
        <v>0</v>
      </c>
      <c r="AH214" s="1">
        <f>IF(AA197=Ceny_n!$B$184,IF(AI188=1,Ceny!$F$922,IF(AI188=2,Ceny!$G$922,0)),0)</f>
        <v>0</v>
      </c>
      <c r="AI214" s="1">
        <f>IF(AG216=3,AH214,AH233)</f>
        <v>0</v>
      </c>
      <c r="AJ214" s="1">
        <f>IF(AC188=ZAVESY,Ceny!$E$951,0)</f>
        <v>0</v>
      </c>
      <c r="AL214" s="1">
        <v>22</v>
      </c>
      <c r="AO214" s="1" t="str">
        <f t="shared" si="25"/>
        <v xml:space="preserve"> ()</v>
      </c>
      <c r="AP214" s="201">
        <v>0</v>
      </c>
      <c r="AQ214" s="198" t="str">
        <f t="shared" si="26"/>
        <v/>
      </c>
      <c r="AS214" s="1" t="e">
        <f>VLOOKUP(AL214,Ceny!$B$963:$E$970,4,0)</f>
        <v>#N/A</v>
      </c>
      <c r="AY214" s="1" t="e">
        <f t="shared" si="28"/>
        <v>#N/A</v>
      </c>
      <c r="BD214" s="48" t="e">
        <v>#REF!</v>
      </c>
      <c r="BE214" s="1" t="e">
        <f t="shared" si="23"/>
        <v>#REF!</v>
      </c>
    </row>
    <row r="215" spans="2:57" ht="17.25" customHeight="1">
      <c r="B215" s="80"/>
      <c r="D215" s="40"/>
      <c r="E215" s="40"/>
      <c r="F215" s="40"/>
      <c r="G215" s="40"/>
      <c r="H215" s="62"/>
      <c r="I215" s="62"/>
      <c r="J215" s="62"/>
      <c r="K215" s="63"/>
      <c r="L215" s="63"/>
      <c r="M215" s="64"/>
      <c r="N215" s="64"/>
      <c r="O215" s="64"/>
      <c r="P215" s="64"/>
      <c r="Q215" s="64"/>
      <c r="R215" s="40"/>
      <c r="S215" s="40"/>
      <c r="T215" s="40"/>
      <c r="U215" s="40"/>
      <c r="V215" s="40"/>
      <c r="W215" s="40"/>
      <c r="Z215" s="888" t="str">
        <f>Ceny_n!$B$138</f>
        <v>Cena rámečků celkem</v>
      </c>
      <c r="AA215" s="889"/>
      <c r="AB215" s="889"/>
      <c r="AC215" s="919">
        <f>IF(AC185=$B$347,0,(AI185+AM185+AN185+AS185)-((AI185+AM185+AN185+AS185)*$AC$14))</f>
        <v>0</v>
      </c>
      <c r="AD215" s="223"/>
      <c r="AE215" s="174"/>
      <c r="AG215" s="1">
        <f>IF(AC188=ZAVESY,DOLE,0)</f>
        <v>0</v>
      </c>
      <c r="AH215" s="1">
        <f>IF(AA197=Ceny_n!$B$184,IF(AI188=1,Ceny!$F$923,IF(AI188=2,Ceny!$G$923,0)),0)</f>
        <v>0</v>
      </c>
      <c r="AI215" s="1">
        <f>IF(AG216=3,AH215,AH234)</f>
        <v>0</v>
      </c>
      <c r="AJ215" s="1">
        <f>IF(AC188=ZAVESY,Ceny!$E$952,0)</f>
        <v>0</v>
      </c>
      <c r="AL215" s="1">
        <f>IF(AI188=1,Ceny!$B$964,0)</f>
        <v>0</v>
      </c>
      <c r="AM215" s="1">
        <v>0</v>
      </c>
      <c r="AN215" s="1">
        <v>0</v>
      </c>
      <c r="AP215" s="1">
        <v>0</v>
      </c>
      <c r="AS215" s="1">
        <f>VLOOKUP(AL215,Ceny!$B$963:$E$970,4,0)</f>
        <v>0</v>
      </c>
      <c r="AY215" s="1">
        <f t="shared" si="28"/>
        <v>0</v>
      </c>
      <c r="BD215" s="48" t="e">
        <v>#REF!</v>
      </c>
      <c r="BE215" s="1" t="e">
        <f t="shared" si="23"/>
        <v>#REF!</v>
      </c>
    </row>
    <row r="216" spans="2:57" ht="17.25" customHeight="1">
      <c r="B216" s="80"/>
      <c r="D216" s="40"/>
      <c r="E216" s="40"/>
      <c r="F216" s="40"/>
      <c r="G216" s="40"/>
      <c r="H216" s="62"/>
      <c r="I216" s="62"/>
      <c r="J216" s="62"/>
      <c r="K216" s="63"/>
      <c r="L216" s="63"/>
      <c r="M216" s="64"/>
      <c r="N216" s="64"/>
      <c r="O216" s="64"/>
      <c r="P216" s="64"/>
      <c r="Q216" s="64"/>
      <c r="R216" s="40"/>
      <c r="S216" s="40"/>
      <c r="T216" s="40"/>
      <c r="U216" s="40"/>
      <c r="V216" s="40"/>
      <c r="W216" s="40"/>
      <c r="Z216" s="890"/>
      <c r="AA216" s="891"/>
      <c r="AB216" s="891"/>
      <c r="AC216" s="920"/>
      <c r="AD216" s="223"/>
      <c r="AE216" s="174"/>
      <c r="AG216" s="1">
        <f>IF(AC196=VPRAVO,1,IF('Běžné rámečky'!AC196=VLEVO,2,IF('Běžné rámečky'!AC196=NAHORE,3,IF('Běžné rámečky'!AC196=DOLE,4,0))))</f>
        <v>0</v>
      </c>
      <c r="AH216" s="1">
        <f>IF(AA197=Ceny_n!$B$184,IF(AI188=1,Ceny!$F$924,IF(AI188=2,Ceny!$G$924,0)),0)</f>
        <v>0</v>
      </c>
      <c r="AI216" s="1" t="str">
        <f>IF(AG216=3,AH216,AH235)</f>
        <v xml:space="preserve"> </v>
      </c>
      <c r="AJ216" s="1">
        <f>IF(AC188=ZAVESY,Ceny!$E$953,0)</f>
        <v>0</v>
      </c>
      <c r="AL216">
        <f>Ceny_n!$B$965</f>
        <v>15585</v>
      </c>
      <c r="AM216" s="1">
        <v>0</v>
      </c>
      <c r="AN216" s="1">
        <v>0</v>
      </c>
      <c r="AP216" s="1">
        <v>0</v>
      </c>
      <c r="AS216" s="1">
        <f>VLOOKUP(AL216,Ceny!$B$963:$E$970,4,0)</f>
        <v>3.1249699999999998</v>
      </c>
      <c r="AY216" s="1">
        <f t="shared" si="28"/>
        <v>3.1249699999999998</v>
      </c>
      <c r="BD216" s="48" t="e">
        <v>#REF!</v>
      </c>
      <c r="BE216" s="1" t="e">
        <f t="shared" si="23"/>
        <v>#REF!</v>
      </c>
    </row>
    <row r="217" spans="2:57" ht="13.5" customHeight="1">
      <c r="B217" s="80"/>
      <c r="D217" s="40"/>
      <c r="E217" s="40"/>
      <c r="F217" s="40"/>
      <c r="G217" s="40"/>
      <c r="H217" s="62"/>
      <c r="I217" s="62"/>
      <c r="J217" s="62"/>
      <c r="K217" s="63"/>
      <c r="L217" s="63"/>
      <c r="M217" s="64"/>
      <c r="N217" s="64"/>
      <c r="O217" s="64"/>
      <c r="P217" s="64"/>
      <c r="Q217" s="64"/>
      <c r="R217" s="40"/>
      <c r="S217" s="40"/>
      <c r="T217" s="40"/>
      <c r="U217" s="40"/>
      <c r="V217" s="40"/>
      <c r="W217" s="40"/>
      <c r="Z217" s="874" t="str">
        <f>Ceny_n!$B$140</f>
        <v>Cena za kompletní objednávku</v>
      </c>
      <c r="AA217" s="875"/>
      <c r="AB217" s="875"/>
      <c r="AC217" s="878">
        <f>SUM($AC$53,$AC$107,$AC$161,$AC$215,$AC$269,$AC$323)</f>
        <v>0</v>
      </c>
      <c r="AD217" s="223"/>
      <c r="AE217" s="174"/>
      <c r="AH217" s="1">
        <f>IF(AA197=Ceny_n!$B$184,IF(AI188=1,Ceny!$F$925,IF(AI188=2,Ceny!$G$925,0)),0)</f>
        <v>0</v>
      </c>
      <c r="AI217" s="1" t="str">
        <f>IF(AG216=3,AH217,AH235)</f>
        <v xml:space="preserve"> </v>
      </c>
      <c r="AJ217" s="1">
        <f>IF(AC188=ZAVESY,Ceny!$E$954,0)</f>
        <v>0</v>
      </c>
      <c r="AL217">
        <f>Ceny_n!$B$965</f>
        <v>15585</v>
      </c>
      <c r="AM217" s="1">
        <v>0</v>
      </c>
      <c r="AN217" s="1">
        <v>0</v>
      </c>
      <c r="AP217" s="1">
        <v>0</v>
      </c>
      <c r="AS217" s="1">
        <f>VLOOKUP(AL217,Ceny!$B$963:$E$970,4,0)</f>
        <v>3.1249699999999998</v>
      </c>
      <c r="AY217" s="1">
        <f t="shared" si="28"/>
        <v>3.1249699999999998</v>
      </c>
      <c r="BD217" s="48" t="e">
        <v>#REF!</v>
      </c>
      <c r="BE217" s="1" t="e">
        <f t="shared" si="23"/>
        <v>#REF!</v>
      </c>
    </row>
    <row r="218" spans="2:57" ht="17.25" customHeight="1">
      <c r="B218" s="80"/>
      <c r="D218" s="40"/>
      <c r="E218" s="40"/>
      <c r="F218" s="40"/>
      <c r="G218" s="40"/>
      <c r="H218" s="62"/>
      <c r="I218" s="62"/>
      <c r="J218" s="62"/>
      <c r="K218" s="63"/>
      <c r="L218" s="63"/>
      <c r="M218" s="64"/>
      <c r="N218" s="64"/>
      <c r="O218" s="64"/>
      <c r="P218" s="64"/>
      <c r="Q218" s="64"/>
      <c r="R218" s="40"/>
      <c r="S218" s="40"/>
      <c r="T218" s="40"/>
      <c r="U218" s="40"/>
      <c r="V218" s="40"/>
      <c r="W218" s="40"/>
      <c r="Z218" s="876"/>
      <c r="AA218" s="877"/>
      <c r="AB218" s="877"/>
      <c r="AC218" s="879"/>
      <c r="AD218" s="224"/>
      <c r="AE218" s="175"/>
      <c r="AH218" s="1">
        <f>IF(AA197=Ceny_n!$B$184,IF(AI188=1,Ceny!$F$926,IF(AI188=2,Ceny!$G$926,0)),0)</f>
        <v>0</v>
      </c>
      <c r="AI218" s="1" t="str">
        <f>IF(AG216=3,AH218,AH235)</f>
        <v xml:space="preserve"> </v>
      </c>
      <c r="AJ218" s="1">
        <f>IF(AC188=ZAVESY,Ceny!$E$955,0)</f>
        <v>0</v>
      </c>
      <c r="AL218">
        <f>Ceny_n!$B$965</f>
        <v>15585</v>
      </c>
      <c r="AM218" s="1">
        <v>0</v>
      </c>
      <c r="AN218" s="1">
        <v>0</v>
      </c>
      <c r="AP218" s="1">
        <v>0</v>
      </c>
      <c r="AS218" s="1">
        <f>VLOOKUP(AL218,Ceny!$B$963:$E$970,4,0)</f>
        <v>3.1249699999999998</v>
      </c>
      <c r="AY218" s="1">
        <f t="shared" si="28"/>
        <v>3.1249699999999998</v>
      </c>
      <c r="BD218" s="48" t="e">
        <v>#REF!</v>
      </c>
      <c r="BE218" s="1" t="e">
        <f t="shared" si="23"/>
        <v>#REF!</v>
      </c>
    </row>
    <row r="219" spans="2:57" ht="7.5" customHeight="1">
      <c r="B219" s="80"/>
      <c r="D219" s="40"/>
      <c r="E219" s="40"/>
      <c r="F219" s="40"/>
      <c r="G219" s="40"/>
      <c r="H219" s="62"/>
      <c r="I219" s="62"/>
      <c r="J219" s="62"/>
      <c r="K219" s="63"/>
      <c r="L219" s="63"/>
      <c r="M219" s="64"/>
      <c r="N219" s="64"/>
      <c r="O219" s="64"/>
      <c r="P219" s="64"/>
      <c r="Q219" s="64"/>
      <c r="R219" s="40"/>
      <c r="S219" s="40"/>
      <c r="T219" s="40"/>
      <c r="U219" s="40"/>
      <c r="V219" s="40"/>
      <c r="W219" s="40"/>
      <c r="Z219" s="880" t="str">
        <f>Ceny_n!$B$131</f>
        <v>Uvedené ceny jsou bez DPH a nezahrnují cenu požadovaného kování!</v>
      </c>
      <c r="AA219" s="880"/>
      <c r="AB219" s="880"/>
      <c r="AC219" s="881"/>
      <c r="AH219" s="1">
        <f>IF(AA197=Ceny_n!$B$184,IF(AI188=1,Ceny!$F$927,IF(AI188=2,Ceny!$G$927,0)),0)</f>
        <v>0</v>
      </c>
      <c r="AI219" s="1" t="str">
        <f>IF(AG216=3,AH219,AH235)</f>
        <v xml:space="preserve"> </v>
      </c>
      <c r="AJ219" s="1">
        <f>IF(AC188=ZAVESY,Ceny!$E$956,0)</f>
        <v>0</v>
      </c>
      <c r="AL219">
        <f>Ceny_n!$B$965</f>
        <v>15585</v>
      </c>
      <c r="AM219" s="1">
        <v>0</v>
      </c>
      <c r="AN219" s="1">
        <v>0</v>
      </c>
      <c r="AP219" s="1">
        <v>0</v>
      </c>
      <c r="AS219" s="1">
        <f>VLOOKUP(AL219,Ceny!$B$963:$E$970,4,0)</f>
        <v>3.1249699999999998</v>
      </c>
      <c r="AY219" s="1">
        <f t="shared" si="28"/>
        <v>3.1249699999999998</v>
      </c>
      <c r="BD219" s="48" t="e">
        <v>#REF!</v>
      </c>
      <c r="BE219" s="1" t="e">
        <f t="shared" si="23"/>
        <v>#REF!</v>
      </c>
    </row>
    <row r="220" spans="2:57" ht="7.5" customHeight="1">
      <c r="B220" s="81"/>
      <c r="C220" s="82"/>
      <c r="D220" s="82"/>
      <c r="E220" s="82"/>
      <c r="F220" s="82"/>
      <c r="G220" s="82"/>
      <c r="H220" s="82"/>
      <c r="I220" s="83"/>
      <c r="J220" s="83"/>
      <c r="K220" s="83"/>
      <c r="L220" s="83"/>
      <c r="M220" s="83"/>
      <c r="N220" s="83"/>
      <c r="O220" s="82"/>
      <c r="P220" s="82"/>
      <c r="Q220" s="82"/>
      <c r="R220" s="82"/>
      <c r="S220" s="82"/>
      <c r="T220" s="82"/>
      <c r="U220" s="82"/>
      <c r="V220" s="82"/>
      <c r="W220" s="82"/>
      <c r="X220" s="82"/>
      <c r="Y220" s="82"/>
      <c r="Z220" s="882"/>
      <c r="AA220" s="882"/>
      <c r="AB220" s="882"/>
      <c r="AC220" s="883"/>
      <c r="AH220" s="1">
        <f>IF(AA197=Ceny_n!$B$184,IF(AI188=1,Ceny!$F$928,IF(AI188=2,Ceny!$G$928,0)),0)</f>
        <v>0</v>
      </c>
      <c r="AI220" s="1" t="str">
        <f>IF(AG216=3,AH220,AH235)</f>
        <v xml:space="preserve"> </v>
      </c>
      <c r="AJ220" s="1">
        <f>IF(AC188=ZAVESY,Ceny!$E$957,0)</f>
        <v>0</v>
      </c>
      <c r="AL220">
        <f>Ceny_n!$B$965</f>
        <v>15585</v>
      </c>
      <c r="AM220" s="1">
        <v>0</v>
      </c>
      <c r="AN220" s="1">
        <v>0</v>
      </c>
      <c r="AP220" s="1">
        <v>0</v>
      </c>
      <c r="AS220" s="1">
        <f>VLOOKUP(AL220,Ceny!$B$963:$E$970,4,0)</f>
        <v>3.1249699999999998</v>
      </c>
      <c r="AY220" s="1">
        <f t="shared" si="28"/>
        <v>3.1249699999999998</v>
      </c>
      <c r="BD220" s="48" t="e">
        <v>#REF!</v>
      </c>
      <c r="BE220" s="1" t="e">
        <f t="shared" si="23"/>
        <v>#REF!</v>
      </c>
    </row>
    <row r="221" spans="2:57" ht="7.35" customHeight="1">
      <c r="B221" s="892" t="str">
        <f>Ceny_n!$B$137</f>
        <v>Poznámky</v>
      </c>
      <c r="C221" s="893"/>
      <c r="D221" s="893"/>
      <c r="E221" s="893"/>
      <c r="F221" s="893"/>
      <c r="G221" s="911"/>
      <c r="H221" s="911"/>
      <c r="I221" s="911"/>
      <c r="J221" s="911"/>
      <c r="K221" s="911"/>
      <c r="L221" s="911"/>
      <c r="M221" s="911"/>
      <c r="N221" s="911"/>
      <c r="O221" s="911"/>
      <c r="P221" s="911"/>
      <c r="Q221" s="911"/>
      <c r="R221" s="911"/>
      <c r="S221" s="911"/>
      <c r="T221" s="911"/>
      <c r="U221" s="911"/>
      <c r="V221" s="911"/>
      <c r="W221" s="911"/>
      <c r="X221" s="911"/>
      <c r="Y221" s="911"/>
      <c r="Z221" s="911"/>
      <c r="AA221" s="911"/>
      <c r="AB221" s="911"/>
      <c r="AC221" s="912"/>
      <c r="AD221" s="225"/>
      <c r="AE221" s="176"/>
      <c r="AH221" s="1">
        <f>IF(AA197=Ceny_n!$B$184,IF(AI188=1,Ceny!$F$929,IF(AI188=2,Ceny!$G$929,0)),0)</f>
        <v>0</v>
      </c>
      <c r="AI221" s="1" t="str">
        <f>IF(AG216=3,AH221,AH235)</f>
        <v xml:space="preserve"> </v>
      </c>
      <c r="AJ221" s="1">
        <f>IF(AC188=ZAVESY,Ceny!$E$958,0)</f>
        <v>0</v>
      </c>
      <c r="AL221" s="1">
        <f>Ceny_n!$B$968</f>
        <v>15596</v>
      </c>
      <c r="AM221" s="1">
        <f>Ceny_n!$B$967</f>
        <v>15595</v>
      </c>
      <c r="AN221" s="65">
        <f>IF(AI188=1,Ceny!$B$967,0)</f>
        <v>0</v>
      </c>
      <c r="AO221" s="65"/>
      <c r="AP221" s="65">
        <f>IF(AI188=1,Ceny!$B$968,0)</f>
        <v>0</v>
      </c>
      <c r="AQ221" s="65"/>
      <c r="AR221" s="65">
        <f>IF(AI188=1,Ceny!$B$969,0)</f>
        <v>0</v>
      </c>
      <c r="AS221" s="1">
        <f>VLOOKUP(AL221,Ceny!$B$963:$E$970,4,0)</f>
        <v>11.9</v>
      </c>
      <c r="AT221" s="1">
        <f>VLOOKUP(AM221,Ceny!$B$963:$E$970,4,0)</f>
        <v>13.4</v>
      </c>
      <c r="AU221" s="1">
        <f>VLOOKUP(AN221,Ceny!$B$963:$E$970,4,0)</f>
        <v>0</v>
      </c>
      <c r="AW221" s="1">
        <f>2*(VLOOKUP(AP221,Ceny!$B$963:$E$970,4,0))</f>
        <v>0</v>
      </c>
      <c r="AX221" s="1">
        <f>2*(VLOOKUP(AR221,Ceny!$B$963:$E$970,4,0))</f>
        <v>0</v>
      </c>
      <c r="AY221" s="1">
        <f t="shared" si="28"/>
        <v>25.3</v>
      </c>
      <c r="BD221" s="48" t="e">
        <v>#REF!</v>
      </c>
      <c r="BE221" s="1" t="e">
        <f t="shared" si="23"/>
        <v>#REF!</v>
      </c>
    </row>
    <row r="222" spans="2:57" ht="7.35" customHeight="1">
      <c r="B222" s="894"/>
      <c r="C222" s="895"/>
      <c r="D222" s="895"/>
      <c r="E222" s="895"/>
      <c r="F222" s="895"/>
      <c r="G222" s="913"/>
      <c r="H222" s="913"/>
      <c r="I222" s="913"/>
      <c r="J222" s="913"/>
      <c r="K222" s="913"/>
      <c r="L222" s="913"/>
      <c r="M222" s="913"/>
      <c r="N222" s="913"/>
      <c r="O222" s="913"/>
      <c r="P222" s="913"/>
      <c r="Q222" s="913"/>
      <c r="R222" s="913"/>
      <c r="S222" s="913"/>
      <c r="T222" s="913"/>
      <c r="U222" s="913"/>
      <c r="V222" s="913"/>
      <c r="W222" s="913"/>
      <c r="X222" s="913"/>
      <c r="Y222" s="913"/>
      <c r="Z222" s="913"/>
      <c r="AA222" s="913"/>
      <c r="AB222" s="913"/>
      <c r="AC222" s="914"/>
      <c r="AD222" s="225"/>
      <c r="AE222" s="176"/>
      <c r="AH222" s="1">
        <f>IF(AA197=Ceny_n!$B$184,IF(AI188=1,Ceny!$F$930,IF(AI188=2,Ceny!$G$930,0)),0)</f>
        <v>0</v>
      </c>
      <c r="AI222" s="1" t="str">
        <f>IF(AG216=3,AH222,AH235)</f>
        <v xml:space="preserve"> </v>
      </c>
      <c r="AJ222" s="1">
        <f>IF(AC188=ZAVESY,Ceny!$E$959,0)</f>
        <v>0</v>
      </c>
      <c r="AL222" s="1">
        <f>Ceny_n!$B$968</f>
        <v>15596</v>
      </c>
      <c r="AM222" s="1">
        <f>Ceny_n!$B$967</f>
        <v>15595</v>
      </c>
      <c r="AN222" s="65">
        <f>IF(AI188=1,Ceny!$B$967,0)</f>
        <v>0</v>
      </c>
      <c r="AO222" s="65"/>
      <c r="AP222" s="65">
        <f>IF(AI188=1,Ceny!$B$968,0)</f>
        <v>0</v>
      </c>
      <c r="AQ222" s="65"/>
      <c r="AR222" s="65">
        <f>IF(AI188=1,Ceny!$B$969,0)</f>
        <v>0</v>
      </c>
      <c r="AS222" s="1">
        <f>VLOOKUP(AL222,Ceny!$B$963:$E$970,4,0)</f>
        <v>11.9</v>
      </c>
      <c r="AT222" s="1">
        <f>VLOOKUP(AM222,Ceny!$B$963:$E$970,4,0)</f>
        <v>13.4</v>
      </c>
      <c r="AU222" s="1">
        <f>VLOOKUP(AN222,Ceny!$B$963:$E$970,4,0)</f>
        <v>0</v>
      </c>
      <c r="AW222" s="1">
        <f>2*(VLOOKUP(AP222,Ceny!$B$963:$E$970,4,0))</f>
        <v>0</v>
      </c>
      <c r="AX222" s="1">
        <f>2*(VLOOKUP(AR222,Ceny!$B$963:$E$970,4,0))</f>
        <v>0</v>
      </c>
      <c r="AY222" s="1">
        <f t="shared" si="28"/>
        <v>25.3</v>
      </c>
      <c r="BD222" s="48" t="e">
        <v>#REF!</v>
      </c>
      <c r="BE222" s="1" t="e">
        <f t="shared" si="23"/>
        <v>#REF!</v>
      </c>
    </row>
    <row r="223" spans="2:57" ht="7.35" customHeight="1">
      <c r="B223" s="894"/>
      <c r="C223" s="895"/>
      <c r="D223" s="895"/>
      <c r="E223" s="895"/>
      <c r="F223" s="895"/>
      <c r="G223" s="913"/>
      <c r="H223" s="913"/>
      <c r="I223" s="913"/>
      <c r="J223" s="913"/>
      <c r="K223" s="913"/>
      <c r="L223" s="913"/>
      <c r="M223" s="913"/>
      <c r="N223" s="913"/>
      <c r="O223" s="913"/>
      <c r="P223" s="913"/>
      <c r="Q223" s="913"/>
      <c r="R223" s="913"/>
      <c r="S223" s="913"/>
      <c r="T223" s="913"/>
      <c r="U223" s="913"/>
      <c r="V223" s="913"/>
      <c r="W223" s="913"/>
      <c r="X223" s="913"/>
      <c r="Y223" s="913"/>
      <c r="Z223" s="913"/>
      <c r="AA223" s="913"/>
      <c r="AB223" s="913"/>
      <c r="AC223" s="914"/>
      <c r="AD223" s="225"/>
      <c r="AE223" s="176"/>
      <c r="AH223" s="1">
        <f>IF(AA197=Ceny_n!$B$184,IF(AI188=1,Ceny!$F$931,IF(AI188=2,Ceny!$G$931,0)),0)</f>
        <v>0</v>
      </c>
      <c r="AI223" s="1" t="str">
        <f>IF(AG216=3,AH223,AH235)</f>
        <v xml:space="preserve"> </v>
      </c>
      <c r="AJ223" s="1">
        <f>IF(AC188=ZAVESY,Ceny!$E$960,0)</f>
        <v>0</v>
      </c>
      <c r="AL223" s="1">
        <f>Ceny_n!$B$968</f>
        <v>15596</v>
      </c>
      <c r="AM223" s="1">
        <f>Ceny_n!$B$967</f>
        <v>15595</v>
      </c>
      <c r="AN223" s="65">
        <f>IF(AI188=1,Ceny!$B$967,0)</f>
        <v>0</v>
      </c>
      <c r="AO223" s="65"/>
      <c r="AP223" s="65">
        <f>IF(AI188=1,Ceny!$B$968,0)</f>
        <v>0</v>
      </c>
      <c r="AQ223" s="65"/>
      <c r="AR223" s="65">
        <f>IF(AI188=1,Ceny!$B$969,0)</f>
        <v>0</v>
      </c>
      <c r="AS223" s="1">
        <f>VLOOKUP(AL223,Ceny!$B$963:$E$970,4,0)</f>
        <v>11.9</v>
      </c>
      <c r="AT223" s="1">
        <f>VLOOKUP(AM223,Ceny!$B$963:$E$970,4,0)</f>
        <v>13.4</v>
      </c>
      <c r="AU223" s="1">
        <f>VLOOKUP(AN223,Ceny!$B$963:$E$970,4,0)</f>
        <v>0</v>
      </c>
      <c r="AW223" s="1">
        <f>2*(VLOOKUP(AP223,Ceny!$B$963:$E$970,4,0))</f>
        <v>0</v>
      </c>
      <c r="AX223" s="1">
        <f>2*(VLOOKUP(AR223,Ceny!$B$963:$E$970,4,0))</f>
        <v>0</v>
      </c>
      <c r="AY223" s="1">
        <f t="shared" si="28"/>
        <v>25.3</v>
      </c>
      <c r="BD223" s="48" t="e">
        <v>#REF!</v>
      </c>
      <c r="BE223" s="1" t="e">
        <f t="shared" si="23"/>
        <v>#REF!</v>
      </c>
    </row>
    <row r="224" spans="2:57" ht="7.35" customHeight="1">
      <c r="B224" s="894"/>
      <c r="C224" s="895"/>
      <c r="D224" s="895"/>
      <c r="E224" s="895"/>
      <c r="F224" s="895"/>
      <c r="G224" s="913"/>
      <c r="H224" s="913"/>
      <c r="I224" s="913"/>
      <c r="J224" s="913"/>
      <c r="K224" s="913"/>
      <c r="L224" s="913"/>
      <c r="M224" s="913"/>
      <c r="N224" s="913"/>
      <c r="O224" s="913"/>
      <c r="P224" s="913"/>
      <c r="Q224" s="913"/>
      <c r="R224" s="913"/>
      <c r="S224" s="913"/>
      <c r="T224" s="913"/>
      <c r="U224" s="913"/>
      <c r="V224" s="913"/>
      <c r="W224" s="913"/>
      <c r="X224" s="913"/>
      <c r="Y224" s="913"/>
      <c r="Z224" s="913"/>
      <c r="AA224" s="913"/>
      <c r="AB224" s="913"/>
      <c r="AC224" s="914"/>
      <c r="AD224" s="225"/>
      <c r="AE224" s="176"/>
      <c r="AH224" s="1">
        <f>IF(AA197=Ceny_n!$B$184,IF(AI188=1,Ceny!$F$932,IF(AI188=2,Ceny!$G$932,0)),0)</f>
        <v>0</v>
      </c>
      <c r="AI224" s="1" t="str">
        <f>IF(AG216=3,AH224,AH235)</f>
        <v xml:space="preserve"> </v>
      </c>
      <c r="AJ224" s="1">
        <f>IF(AC188=ZAVESY,Ceny!$E$961,0)</f>
        <v>0</v>
      </c>
      <c r="AL224" s="1">
        <f>Ceny_n!$B$968</f>
        <v>15596</v>
      </c>
      <c r="AM224" s="1">
        <f>Ceny_n!$B$967</f>
        <v>15595</v>
      </c>
      <c r="AN224" s="65">
        <f>IF(AI188=1,Ceny!$B$967,0)</f>
        <v>0</v>
      </c>
      <c r="AO224" s="65"/>
      <c r="AP224" s="65">
        <f>IF(AI188=1,Ceny!$B$968,0)</f>
        <v>0</v>
      </c>
      <c r="AQ224" s="65"/>
      <c r="AR224" s="65">
        <f>IF(AI188=1,Ceny!$B$969,0)</f>
        <v>0</v>
      </c>
      <c r="AS224" s="1">
        <f>VLOOKUP(AL224,Ceny!$B$963:$E$970,4,0)</f>
        <v>11.9</v>
      </c>
      <c r="AT224" s="1">
        <f>VLOOKUP(AM224,Ceny!$B$963:$E$970,4,0)</f>
        <v>13.4</v>
      </c>
      <c r="AU224" s="1">
        <f>VLOOKUP(AN224,Ceny!$B$963:$E$970,4,0)</f>
        <v>0</v>
      </c>
      <c r="AW224" s="1">
        <f>2*(VLOOKUP(AP224,Ceny!$B$963:$E$970,4,0))</f>
        <v>0</v>
      </c>
      <c r="AX224" s="1">
        <f>2*(VLOOKUP(AR224,Ceny!$B$963:$E$970,4,0))</f>
        <v>0</v>
      </c>
      <c r="AY224" s="1">
        <f t="shared" si="28"/>
        <v>25.3</v>
      </c>
      <c r="BD224" s="48" t="e">
        <v>#REF!</v>
      </c>
      <c r="BE224" s="1" t="e">
        <f t="shared" si="23"/>
        <v>#REF!</v>
      </c>
    </row>
    <row r="225" spans="2:59" ht="7.35" customHeight="1">
      <c r="B225" s="894"/>
      <c r="C225" s="895"/>
      <c r="D225" s="895"/>
      <c r="E225" s="895"/>
      <c r="F225" s="895"/>
      <c r="G225" s="913"/>
      <c r="H225" s="913"/>
      <c r="I225" s="913"/>
      <c r="J225" s="913"/>
      <c r="K225" s="913"/>
      <c r="L225" s="913"/>
      <c r="M225" s="913"/>
      <c r="N225" s="913"/>
      <c r="O225" s="913"/>
      <c r="P225" s="913"/>
      <c r="Q225" s="913"/>
      <c r="R225" s="913"/>
      <c r="S225" s="913"/>
      <c r="T225" s="913"/>
      <c r="U225" s="913"/>
      <c r="V225" s="913"/>
      <c r="W225" s="913"/>
      <c r="X225" s="913"/>
      <c r="Y225" s="913"/>
      <c r="Z225" s="913"/>
      <c r="AA225" s="913"/>
      <c r="AB225" s="913"/>
      <c r="AC225" s="914"/>
      <c r="AD225" s="225"/>
      <c r="AE225" s="176"/>
      <c r="AH225" s="1">
        <f>IF(AA197=Ceny_n!$B$184,IF(AI188=1,Ceny!$F$933,IF(AI188=2,Ceny!$G$933,0)),0)</f>
        <v>0</v>
      </c>
      <c r="AI225" s="1" t="str">
        <f>IF(AG216=3,AH225,AH235)</f>
        <v xml:space="preserve"> </v>
      </c>
      <c r="AJ225" s="1">
        <f>IF(AC188=ZAVESY,Ceny!$E$962,0)</f>
        <v>0</v>
      </c>
      <c r="AY225" s="1">
        <f t="shared" si="28"/>
        <v>0</v>
      </c>
      <c r="BD225" s="48" t="e">
        <v>#REF!</v>
      </c>
      <c r="BE225" s="1" t="e">
        <f t="shared" si="23"/>
        <v>#REF!</v>
      </c>
    </row>
    <row r="226" spans="2:59" ht="6" customHeight="1">
      <c r="B226" s="894"/>
      <c r="C226" s="895"/>
      <c r="D226" s="895"/>
      <c r="E226" s="895"/>
      <c r="F226" s="895"/>
      <c r="G226" s="913"/>
      <c r="H226" s="913"/>
      <c r="I226" s="913"/>
      <c r="J226" s="913"/>
      <c r="K226" s="913"/>
      <c r="L226" s="913"/>
      <c r="M226" s="913"/>
      <c r="N226" s="913"/>
      <c r="O226" s="913"/>
      <c r="P226" s="913"/>
      <c r="Q226" s="913"/>
      <c r="R226" s="913"/>
      <c r="S226" s="913"/>
      <c r="T226" s="913"/>
      <c r="U226" s="913"/>
      <c r="V226" s="913"/>
      <c r="W226" s="913"/>
      <c r="X226" s="913"/>
      <c r="Y226" s="913"/>
      <c r="Z226" s="913"/>
      <c r="AA226" s="913"/>
      <c r="AB226" s="913"/>
      <c r="AC226" s="914"/>
      <c r="AD226" s="225"/>
      <c r="AE226" s="176"/>
      <c r="AH226" s="1">
        <f>IF(AA197=Ceny_n!$B$184,IF(AI188=1,Ceny!$F$934,IF(AI188=2,Ceny!$G$934,0)),0)</f>
        <v>0</v>
      </c>
      <c r="AI226" s="1" t="str">
        <f>IF(AG216=3,AH226,AH235)</f>
        <v xml:space="preserve"> </v>
      </c>
      <c r="BD226" s="48" t="e">
        <v>#REF!</v>
      </c>
      <c r="BE226" s="1" t="e">
        <f t="shared" si="23"/>
        <v>#REF!</v>
      </c>
    </row>
    <row r="227" spans="2:59" ht="7.35" customHeight="1" thickBot="1">
      <c r="B227" s="894"/>
      <c r="C227" s="895"/>
      <c r="D227" s="895"/>
      <c r="E227" s="895"/>
      <c r="F227" s="895"/>
      <c r="G227" s="913"/>
      <c r="H227" s="913"/>
      <c r="I227" s="913"/>
      <c r="J227" s="913"/>
      <c r="K227" s="913"/>
      <c r="L227" s="913"/>
      <c r="M227" s="913"/>
      <c r="N227" s="913"/>
      <c r="O227" s="913"/>
      <c r="P227" s="913"/>
      <c r="Q227" s="913"/>
      <c r="R227" s="913"/>
      <c r="S227" s="913"/>
      <c r="T227" s="913"/>
      <c r="U227" s="913"/>
      <c r="V227" s="913"/>
      <c r="W227" s="913"/>
      <c r="X227" s="913"/>
      <c r="Y227" s="913"/>
      <c r="Z227" s="913"/>
      <c r="AA227" s="913"/>
      <c r="AB227" s="913"/>
      <c r="AC227" s="914"/>
      <c r="AD227" s="225"/>
      <c r="AE227" s="176"/>
      <c r="AH227" s="1">
        <f>IF(AA197=Ceny_n!$B$184,IF(AI188=1,Ceny!$F$935,IF(AI188=2,Ceny!$G$935,0)),0)</f>
        <v>0</v>
      </c>
      <c r="AI227" s="1" t="str">
        <f>IF(AG216=3,AH227,AH235)</f>
        <v xml:space="preserve"> </v>
      </c>
      <c r="BD227" s="52" t="e">
        <v>#REF!</v>
      </c>
      <c r="BE227" s="1" t="e">
        <f t="shared" si="23"/>
        <v>#REF!</v>
      </c>
    </row>
    <row r="228" spans="2:59" ht="7.35" customHeight="1">
      <c r="B228" s="894"/>
      <c r="C228" s="895"/>
      <c r="D228" s="895"/>
      <c r="E228" s="895"/>
      <c r="F228" s="895"/>
      <c r="G228" s="913"/>
      <c r="H228" s="913"/>
      <c r="I228" s="913"/>
      <c r="J228" s="913"/>
      <c r="K228" s="913"/>
      <c r="L228" s="913"/>
      <c r="M228" s="913"/>
      <c r="N228" s="913"/>
      <c r="O228" s="913"/>
      <c r="P228" s="913"/>
      <c r="Q228" s="913"/>
      <c r="R228" s="913"/>
      <c r="S228" s="913"/>
      <c r="T228" s="913"/>
      <c r="U228" s="913"/>
      <c r="V228" s="913"/>
      <c r="W228" s="913"/>
      <c r="X228" s="913"/>
      <c r="Y228" s="913"/>
      <c r="Z228" s="913"/>
      <c r="AA228" s="913"/>
      <c r="AB228" s="913"/>
      <c r="AC228" s="914"/>
      <c r="AD228" s="225"/>
      <c r="AE228" s="176"/>
      <c r="AH228" s="1">
        <f>IF(AA197=Ceny_n!$B$184,IF(AI188=1,Ceny!$F$936,IF(AI188=2,Ceny!$G$936,0)),0)</f>
        <v>0</v>
      </c>
      <c r="AI228" s="1" t="str">
        <f>IF(AG216=3,AH228,AH235)</f>
        <v xml:space="preserve"> </v>
      </c>
    </row>
    <row r="229" spans="2:59" ht="7.35" customHeight="1">
      <c r="B229" s="894"/>
      <c r="C229" s="895"/>
      <c r="D229" s="895"/>
      <c r="E229" s="895"/>
      <c r="F229" s="895"/>
      <c r="G229" s="913"/>
      <c r="H229" s="913"/>
      <c r="I229" s="913"/>
      <c r="J229" s="913"/>
      <c r="K229" s="913"/>
      <c r="L229" s="913"/>
      <c r="M229" s="913"/>
      <c r="N229" s="913"/>
      <c r="O229" s="913"/>
      <c r="P229" s="913"/>
      <c r="Q229" s="913"/>
      <c r="R229" s="913"/>
      <c r="S229" s="913"/>
      <c r="T229" s="913"/>
      <c r="U229" s="913"/>
      <c r="V229" s="913"/>
      <c r="W229" s="913"/>
      <c r="X229" s="913"/>
      <c r="Y229" s="913"/>
      <c r="Z229" s="913"/>
      <c r="AA229" s="913"/>
      <c r="AB229" s="913"/>
      <c r="AC229" s="914"/>
      <c r="AD229" s="225"/>
      <c r="AE229" s="176"/>
      <c r="AH229" s="1">
        <f>IF(AA197=Ceny_n!$B$184,IF(AI188=1,Ceny!$F$937,IF(AI188=2,Ceny!$G$937,0)),0)</f>
        <v>0</v>
      </c>
      <c r="AI229" s="1" t="str">
        <f>IF(AG216=3,AH229,AH235)</f>
        <v xml:space="preserve"> </v>
      </c>
    </row>
    <row r="230" spans="2:59" ht="20.25" customHeight="1">
      <c r="B230" s="894"/>
      <c r="C230" s="895"/>
      <c r="D230" s="895"/>
      <c r="E230" s="895"/>
      <c r="F230" s="895"/>
      <c r="G230" s="913"/>
      <c r="H230" s="913"/>
      <c r="I230" s="913"/>
      <c r="J230" s="913"/>
      <c r="K230" s="913"/>
      <c r="L230" s="913"/>
      <c r="M230" s="913"/>
      <c r="N230" s="913"/>
      <c r="O230" s="913"/>
      <c r="P230" s="913"/>
      <c r="Q230" s="913"/>
      <c r="R230" s="913"/>
      <c r="S230" s="913"/>
      <c r="T230" s="913"/>
      <c r="U230" s="913"/>
      <c r="V230" s="913"/>
      <c r="W230" s="913"/>
      <c r="X230" s="913"/>
      <c r="Y230" s="913"/>
      <c r="Z230" s="913"/>
      <c r="AA230" s="913"/>
      <c r="AB230" s="913"/>
      <c r="AC230" s="914"/>
      <c r="AD230" s="225"/>
      <c r="AE230" s="176"/>
      <c r="AH230" s="1">
        <f>IF(AA197=Ceny_n!$B$184,IF(AI188=1,Ceny!$F$938,IF(AI188=2,Ceny!$G$938,0)),0)</f>
        <v>0</v>
      </c>
      <c r="AI230" s="1" t="str">
        <f>IF(AG216=3,AH230,AH235)</f>
        <v xml:space="preserve"> </v>
      </c>
    </row>
    <row r="231" spans="2:59" ht="7.35" customHeight="1">
      <c r="B231" s="894"/>
      <c r="C231" s="895"/>
      <c r="D231" s="895"/>
      <c r="E231" s="895"/>
      <c r="F231" s="895"/>
      <c r="G231" s="913"/>
      <c r="H231" s="913"/>
      <c r="I231" s="913"/>
      <c r="J231" s="913"/>
      <c r="K231" s="913"/>
      <c r="L231" s="913"/>
      <c r="M231" s="913"/>
      <c r="N231" s="913"/>
      <c r="O231" s="913"/>
      <c r="P231" s="913"/>
      <c r="Q231" s="913"/>
      <c r="R231" s="913"/>
      <c r="S231" s="913"/>
      <c r="T231" s="913"/>
      <c r="U231" s="913"/>
      <c r="V231" s="913"/>
      <c r="W231" s="913"/>
      <c r="X231" s="913"/>
      <c r="Y231" s="913"/>
      <c r="Z231" s="913"/>
      <c r="AA231" s="913"/>
      <c r="AB231" s="913"/>
      <c r="AC231" s="914"/>
      <c r="AD231" s="225"/>
      <c r="AE231" s="176"/>
      <c r="AH231" s="1">
        <f>IF(AA197=Ceny_n!$B$184,IF(AI188=1,Ceny!$F$939,IF(AI188=2,Ceny!$G$939,0)),0)</f>
        <v>0</v>
      </c>
    </row>
    <row r="232" spans="2:59" ht="7.35" customHeight="1">
      <c r="B232" s="894"/>
      <c r="C232" s="895"/>
      <c r="D232" s="895"/>
      <c r="E232" s="895"/>
      <c r="F232" s="895"/>
      <c r="G232" s="913"/>
      <c r="H232" s="913"/>
      <c r="I232" s="913"/>
      <c r="J232" s="913"/>
      <c r="K232" s="913"/>
      <c r="L232" s="913"/>
      <c r="M232" s="913"/>
      <c r="N232" s="913"/>
      <c r="O232" s="913"/>
      <c r="P232" s="913"/>
      <c r="Q232" s="913"/>
      <c r="R232" s="913"/>
      <c r="S232" s="913"/>
      <c r="T232" s="913"/>
      <c r="U232" s="913"/>
      <c r="V232" s="913"/>
      <c r="W232" s="913"/>
      <c r="X232" s="913"/>
      <c r="Y232" s="913"/>
      <c r="Z232" s="913"/>
      <c r="AA232" s="913"/>
      <c r="AB232" s="913"/>
      <c r="AC232" s="914"/>
      <c r="AD232" s="225"/>
      <c r="AE232" s="176"/>
      <c r="AH232" s="1">
        <f>IF(AA197=Ceny_n!$B$184,IF(AI188=1,Ceny!$F$940,IF(AI188=2,Ceny!$G$940,0)),0)</f>
        <v>0</v>
      </c>
    </row>
    <row r="233" spans="2:59" ht="7.35" customHeight="1">
      <c r="B233" s="894"/>
      <c r="C233" s="895"/>
      <c r="D233" s="895"/>
      <c r="E233" s="895"/>
      <c r="F233" s="895"/>
      <c r="G233" s="913"/>
      <c r="H233" s="913"/>
      <c r="I233" s="913"/>
      <c r="J233" s="913"/>
      <c r="K233" s="913"/>
      <c r="L233" s="913"/>
      <c r="M233" s="913"/>
      <c r="N233" s="913"/>
      <c r="O233" s="913"/>
      <c r="P233" s="913"/>
      <c r="Q233" s="913"/>
      <c r="R233" s="913"/>
      <c r="S233" s="913"/>
      <c r="T233" s="913"/>
      <c r="U233" s="913"/>
      <c r="V233" s="913"/>
      <c r="W233" s="913"/>
      <c r="X233" s="913"/>
      <c r="Y233" s="913"/>
      <c r="Z233" s="913"/>
      <c r="AA233" s="913"/>
      <c r="AB233" s="913"/>
      <c r="AC233" s="914"/>
      <c r="AD233" s="225"/>
      <c r="AE233" s="176"/>
      <c r="AH233" s="1">
        <f>IF(AA197=Ceny_n!$B$184,IF(AI188=1,Ceny!$F$941,IF(AI188=2,Ceny!$G$941,0)),0)</f>
        <v>0</v>
      </c>
    </row>
    <row r="234" spans="2:59" ht="7.35" customHeight="1">
      <c r="B234" s="896"/>
      <c r="C234" s="897"/>
      <c r="D234" s="897"/>
      <c r="E234" s="897"/>
      <c r="F234" s="897"/>
      <c r="G234" s="915"/>
      <c r="H234" s="915"/>
      <c r="I234" s="915"/>
      <c r="J234" s="915"/>
      <c r="K234" s="915"/>
      <c r="L234" s="915"/>
      <c r="M234" s="915"/>
      <c r="N234" s="915"/>
      <c r="O234" s="915"/>
      <c r="P234" s="915"/>
      <c r="Q234" s="915"/>
      <c r="R234" s="915"/>
      <c r="S234" s="915"/>
      <c r="T234" s="915"/>
      <c r="U234" s="915"/>
      <c r="V234" s="915"/>
      <c r="W234" s="915"/>
      <c r="X234" s="915"/>
      <c r="Y234" s="915"/>
      <c r="Z234" s="915"/>
      <c r="AA234" s="915"/>
      <c r="AB234" s="915"/>
      <c r="AC234" s="916"/>
      <c r="AD234" s="225"/>
      <c r="AE234" s="176"/>
      <c r="AH234" s="1">
        <f>IF(AA197=Ceny_n!$B$184,IF(AI188=1,Ceny!$F$942,IF(AI188=2,Ceny!$G$942,0)),0)</f>
        <v>0</v>
      </c>
    </row>
    <row r="235" spans="2:59" ht="7.5" customHeight="1">
      <c r="B235" s="92"/>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4"/>
      <c r="AD235" s="226"/>
      <c r="AE235" s="177"/>
      <c r="AH235" s="1" t="s">
        <v>677</v>
      </c>
    </row>
    <row r="236" spans="2:59" ht="26.25">
      <c r="B236" s="120" t="s">
        <v>4</v>
      </c>
      <c r="C236" s="872" t="str">
        <f>Ceny_n!$B$129</f>
        <v>Rámeček</v>
      </c>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c r="AA236" s="872"/>
      <c r="AB236" s="872"/>
      <c r="AC236" s="873"/>
      <c r="AD236" s="218"/>
      <c r="AE236" s="166"/>
    </row>
    <row r="237" spans="2:59" ht="15.75" thickBot="1">
      <c r="B237" s="79"/>
      <c r="AC237" s="76"/>
      <c r="AD237" s="227" t="s">
        <v>1192</v>
      </c>
      <c r="AJ237" s="938" t="s">
        <v>1512</v>
      </c>
      <c r="AK237" s="938"/>
    </row>
    <row r="238" spans="2:59" ht="15.75" thickBot="1">
      <c r="B238" s="80"/>
      <c r="D238" s="917" t="str">
        <f>IF(H238=1,AC247,"")</f>
        <v/>
      </c>
      <c r="E238" s="918"/>
      <c r="F238" s="918"/>
      <c r="G238" s="918"/>
      <c r="H238" s="38">
        <f>IF(AG270=3,1,0)</f>
        <v>0</v>
      </c>
      <c r="I238" s="38"/>
      <c r="J238" s="38"/>
      <c r="K238" s="38" t="b">
        <f>IF(AG270=3,IF(AC246=4,1,0))</f>
        <v>0</v>
      </c>
      <c r="L238" s="38"/>
      <c r="M238" s="38" t="b">
        <f>IF(AG270=3,IF(AC246=3,1,0))</f>
        <v>0</v>
      </c>
      <c r="N238" s="38"/>
      <c r="O238" s="38" t="b">
        <f>IF(AG270=3,IF(AC246=4,1,0))</f>
        <v>0</v>
      </c>
      <c r="P238" s="38"/>
      <c r="Q238" s="38"/>
      <c r="R238" s="38">
        <f>IF(AG270=3,1,0)</f>
        <v>0</v>
      </c>
      <c r="S238" s="959" t="str">
        <f>IF(R238=1,AC247,"")</f>
        <v/>
      </c>
      <c r="T238" s="959"/>
      <c r="U238" s="959"/>
      <c r="V238" s="959"/>
      <c r="W238" s="960"/>
      <c r="Y238" s="40"/>
      <c r="AA238" s="799"/>
      <c r="AB238" s="799"/>
      <c r="AC238" s="76"/>
      <c r="AG238" s="1" t="s">
        <v>87</v>
      </c>
      <c r="AH238" s="1" t="s">
        <v>88</v>
      </c>
      <c r="AI238" s="1" t="s">
        <v>89</v>
      </c>
      <c r="AJ238" s="1" t="s">
        <v>6</v>
      </c>
      <c r="AL238" s="1" t="s">
        <v>99</v>
      </c>
      <c r="AM238" s="1" t="s">
        <v>90</v>
      </c>
      <c r="AN238" s="1" t="s">
        <v>109</v>
      </c>
      <c r="AP238" s="1" t="s">
        <v>91</v>
      </c>
      <c r="AR238" s="1" t="s">
        <v>93</v>
      </c>
      <c r="AS238" s="1" t="s">
        <v>92</v>
      </c>
      <c r="BB238" s="1">
        <v>0</v>
      </c>
      <c r="BD238" s="1" t="e">
        <f>IF(ISNA(VLOOKUP(AC244,#REF!,14,FALSE)),2,IF(VLOOKUP(AC244,#REF!,14,FALSE)="N",1,2))</f>
        <v>#REF!</v>
      </c>
    </row>
    <row r="239" spans="2:59" ht="18" customHeight="1">
      <c r="B239" s="80"/>
      <c r="D239" s="902" t="str">
        <f>IF(D243=1,AC247,"")</f>
        <v/>
      </c>
      <c r="E239" s="41"/>
      <c r="F239" s="42"/>
      <c r="G239" s="42"/>
      <c r="H239" s="42"/>
      <c r="I239" s="42"/>
      <c r="J239" s="42"/>
      <c r="K239" s="42"/>
      <c r="L239" s="42"/>
      <c r="M239" s="42"/>
      <c r="N239" s="42"/>
      <c r="O239" s="42"/>
      <c r="P239" s="42"/>
      <c r="Q239" s="42"/>
      <c r="R239" s="42"/>
      <c r="S239" s="42"/>
      <c r="T239" s="42"/>
      <c r="U239" s="42"/>
      <c r="V239" s="43"/>
      <c r="W239" s="902" t="str">
        <f>IF(W243=1,AC247,"")</f>
        <v/>
      </c>
      <c r="AA239" s="927" t="str">
        <f>Ceny_n!$B$132</f>
        <v>Typ profilu</v>
      </c>
      <c r="AB239" s="928"/>
      <c r="AC239" s="206" t="s">
        <v>258</v>
      </c>
      <c r="AD239" s="167" t="s">
        <v>1646</v>
      </c>
      <c r="AE239" s="167"/>
      <c r="AF239" s="87">
        <f>IF(AC243=AV_HL_SD,TYP_RAM,AG244)</f>
        <v>0</v>
      </c>
      <c r="AG239" s="1" t="e">
        <f>VLOOKUP(AC239,$B$348:$D$391,2,0)</f>
        <v>#N/A</v>
      </c>
      <c r="AH239" s="1" t="e">
        <f>AG239*(((L268/1000)+(Y244/1000))*2)</f>
        <v>#N/A</v>
      </c>
      <c r="AI239" s="1" t="e">
        <f>AH239*AC241</f>
        <v>#N/A</v>
      </c>
      <c r="AJ239" s="1" t="e">
        <f>VLOOKUP(AC239,$B$348:$D$391,3,0)</f>
        <v>#N/A</v>
      </c>
      <c r="AL239" s="1" t="e">
        <f>VLOOKUP(AC239,$B$348:$I$392,AH243,0)</f>
        <v>#N/A</v>
      </c>
      <c r="AM239" s="1" t="e">
        <f>AJ239*AC241</f>
        <v>#N/A</v>
      </c>
      <c r="AN239" s="1" t="e">
        <f>AL239*AC241</f>
        <v>#N/A</v>
      </c>
      <c r="AP239" s="1">
        <f>VLOOKUP(AC240,$B$403:$C$477,2,0)</f>
        <v>0</v>
      </c>
      <c r="AR239" s="1">
        <f>(L268/1000)*(Y244/1000)*AP239</f>
        <v>0</v>
      </c>
      <c r="AS239" s="1">
        <f>AR239*AC241</f>
        <v>0</v>
      </c>
      <c r="BB239" s="937" t="s">
        <v>1210</v>
      </c>
      <c r="BC239" s="937"/>
      <c r="BD239" s="937"/>
      <c r="BE239" s="937"/>
      <c r="BF239" s="937"/>
      <c r="BG239" s="937"/>
    </row>
    <row r="240" spans="2:59" ht="18" customHeight="1" thickBot="1">
      <c r="B240" s="80"/>
      <c r="D240" s="902"/>
      <c r="E240" s="44"/>
      <c r="F240" s="45"/>
      <c r="G240" s="45"/>
      <c r="H240" s="45"/>
      <c r="I240" s="45"/>
      <c r="J240" s="45"/>
      <c r="K240" s="45"/>
      <c r="L240" s="45"/>
      <c r="M240" s="45"/>
      <c r="N240" s="45"/>
      <c r="O240" s="45"/>
      <c r="P240" s="45"/>
      <c r="Q240" s="45"/>
      <c r="R240" s="45"/>
      <c r="S240" s="45"/>
      <c r="T240" s="45"/>
      <c r="U240" s="45"/>
      <c r="V240" s="46"/>
      <c r="W240" s="902"/>
      <c r="AA240" s="907" t="str">
        <f>Ceny_n!$B$133</f>
        <v>Typ skla</v>
      </c>
      <c r="AB240" s="908"/>
      <c r="AC240" s="207"/>
      <c r="AD240" s="167" t="s">
        <v>1518</v>
      </c>
      <c r="AE240" s="168"/>
      <c r="AF240" s="1" t="str">
        <f>Ceny_n!$B$199</f>
        <v>Vyberte ze seznamu</v>
      </c>
      <c r="AG240" s="1" t="s">
        <v>220</v>
      </c>
      <c r="AH240" s="1" t="s">
        <v>226</v>
      </c>
      <c r="AI240" s="1" t="s">
        <v>227</v>
      </c>
      <c r="AJ240" s="1" t="s">
        <v>371</v>
      </c>
      <c r="AL240" s="1" t="s">
        <v>29</v>
      </c>
      <c r="BB240" s="178" t="s">
        <v>1051</v>
      </c>
      <c r="BC240" s="179" t="s">
        <v>1057</v>
      </c>
      <c r="BD240" s="182" t="s">
        <v>1078</v>
      </c>
      <c r="BE240" s="182"/>
      <c r="BF240" s="1" t="s">
        <v>1166</v>
      </c>
      <c r="BG240" s="1" t="s">
        <v>1167</v>
      </c>
    </row>
    <row r="241" spans="2:59" ht="18" customHeight="1" thickBot="1">
      <c r="B241" s="80"/>
      <c r="D241" s="902"/>
      <c r="E241" s="44"/>
      <c r="F241" s="45"/>
      <c r="G241" s="45"/>
      <c r="H241" s="45"/>
      <c r="I241" s="45"/>
      <c r="J241" s="45"/>
      <c r="K241" s="45"/>
      <c r="L241" s="45"/>
      <c r="M241" s="45"/>
      <c r="N241" s="45"/>
      <c r="O241" s="45"/>
      <c r="P241" s="45"/>
      <c r="Q241" s="45"/>
      <c r="R241" s="45"/>
      <c r="S241" s="45"/>
      <c r="T241" s="45"/>
      <c r="U241" s="45"/>
      <c r="V241" s="46"/>
      <c r="W241" s="902"/>
      <c r="AA241" s="907" t="str">
        <f>Ceny_n!$B$134</f>
        <v>Počet kusů</v>
      </c>
      <c r="AB241" s="908"/>
      <c r="AC241" s="207"/>
      <c r="AD241" s="167" t="s">
        <v>1195</v>
      </c>
      <c r="AE241" s="168"/>
      <c r="AF241" s="1" t="str">
        <f>IF(AC239=AF240,"",Ceny!$B$141)</f>
        <v/>
      </c>
      <c r="AG241" s="1" t="e">
        <f>VLOOKUP(AR242,Ceny!$B$847:$D$917,3,0)</f>
        <v>#VALUE!</v>
      </c>
      <c r="AH241" s="1" t="e">
        <f>VLOOKUP(AW242,Ceny!$B$847:$D$917,3,0)</f>
        <v>#VALUE!</v>
      </c>
      <c r="AI241" s="1" t="e">
        <f>(AG241+AH241)*AC241*AC246</f>
        <v>#VALUE!</v>
      </c>
      <c r="AJ241" s="1">
        <f>IF(AC251=0,0,VLOOKUP(AC251,AI265:AY279,13,0))</f>
        <v>0</v>
      </c>
      <c r="AL241" s="1">
        <f>AG261*AC241*AJ241</f>
        <v>0</v>
      </c>
      <c r="AP241" s="938" t="s">
        <v>1513</v>
      </c>
      <c r="AQ241" s="938"/>
      <c r="BB241" s="47" t="e">
        <f t="array" ref="BB241:BB258">IF(AI242=1,PANT_HETTICH_WIDE,PANT_HETTICH_SLIM)</f>
        <v>#REF!</v>
      </c>
      <c r="BC241" s="185" t="e">
        <f t="array" ref="BC241:BC258">IF(AI242=2,PANT_BLUM_WIDE,PANT_BLUM_SLIM)</f>
        <v>#REF!</v>
      </c>
      <c r="BD241" s="47" t="e">
        <f t="array" ref="BD241:BD281">IF(ISNA(IF(AND(AI242=2,AC250=NAHORE),VYKLOP_UP_WIDE,
IF(AND(AI242=2,AC250=DOLE),VYKLOP_DWN_WIDE,
IF(AND(AI242=1,AC250=NAHORE),VYKLOP_UP_SLIM,
IF(AND(AI242=1,AC250=DOLE),VYKLOP_DWN_SLIM,""))))),"",IF(BD238=2,"",IF(AND(AI242=2,AC250=NAHORE),VYKLOP_UP_WIDE,
IF(AND(AI242=2,AC250=DOLE),VYKLOP_DWN_WIDE,
IF(AND(AI242=1,AC250=NAHORE),VYKLOP_UP_SLIM,
IF(AND(AI242=1,AC250=DOLE),VYKLOP_DWN_SLIM,""))))))</f>
        <v>#REF!</v>
      </c>
      <c r="BE241" s="1" t="e">
        <f>IF(OR(ISNA(BD241),BD241=""),"",1)</f>
        <v>#REF!</v>
      </c>
      <c r="BF241" s="47" t="e">
        <f t="array" ref="BF241:BF257">IF(AI242=1,PANT_STRONG_SLIM_BTL,PANT_STRONG_WIDE_BTL)</f>
        <v>#REF!</v>
      </c>
      <c r="BG241" s="47" t="e">
        <f t="array" ref="BG241:BG257">IF(AI242=1,PANT_STRONG_SLIM_STL,PANT_STRONG_WIDE_STL)</f>
        <v>#REF!</v>
      </c>
    </row>
    <row r="242" spans="2:59" ht="18" customHeight="1" thickBot="1">
      <c r="B242" s="80"/>
      <c r="D242" s="902"/>
      <c r="E242" s="44"/>
      <c r="F242" s="45"/>
      <c r="G242" s="45"/>
      <c r="H242" s="45"/>
      <c r="I242" s="45"/>
      <c r="J242" s="45"/>
      <c r="K242" s="45"/>
      <c r="L242" s="45"/>
      <c r="M242" s="45"/>
      <c r="N242" s="45"/>
      <c r="O242" s="45"/>
      <c r="P242" s="45"/>
      <c r="Q242" s="45"/>
      <c r="R242" s="45"/>
      <c r="S242" s="45"/>
      <c r="T242" s="45"/>
      <c r="U242" s="45"/>
      <c r="V242" s="46"/>
      <c r="W242" s="902"/>
      <c r="AA242" s="907" t="str">
        <f>Ceny_n!$B$215</f>
        <v>Typ kování</v>
      </c>
      <c r="AB242" s="908"/>
      <c r="AC242" s="207"/>
      <c r="AD242" s="167" t="s">
        <v>1189</v>
      </c>
      <c r="AE242" s="168"/>
      <c r="AF242" s="87" t="str">
        <f>IF(AC239=AF240,"",AV_HF)</f>
        <v/>
      </c>
      <c r="AI242" s="1">
        <f>IF(AC239=AF240,0,VLOOKUP(AC239,#REF!,2,0))</f>
        <v>0</v>
      </c>
      <c r="AJ242" s="193" t="str">
        <f>IF(AC242=AV_HF,HOR_DV,
IF(AC242=AV_HF_SD,HOR_DV,
IF(AC242=AV_OST,AV_HK,
IF(AC242=ZAVESY,PRAZDNE_1,""))))</f>
        <v/>
      </c>
      <c r="AK242" s="194" t="str">
        <f t="shared" ref="AK242:AK253" si="29">IF(OR(ISNA(AJ242),AJ242=""),"",1)</f>
        <v/>
      </c>
      <c r="AL242" s="799" t="s">
        <v>21</v>
      </c>
      <c r="AM242" s="799"/>
      <c r="AN242" s="799"/>
      <c r="AO242" s="181"/>
      <c r="AP242" s="1" t="e">
        <f>IF(AE244=AP243,1,IF(AE244=AP244,2,IF(AE244=AP245,3,IF(AE244=AP246,4,IF(AE244=AP247,5,IF(AE244=AP248,6,IF(AE244=AP249,7,0)))))))</f>
        <v>#VALUE!</v>
      </c>
      <c r="AR242" s="1" t="e">
        <f>VLOOKUP(AP242,AL243:AR568,5,0)</f>
        <v>#VALUE!</v>
      </c>
      <c r="AS242" s="945" t="s">
        <v>1177</v>
      </c>
      <c r="AT242" s="945"/>
      <c r="AU242" s="1" t="e">
        <f>IF(AE245=AU243,1,IF(AE245=AU244,2,0))</f>
        <v>#VALUE!</v>
      </c>
      <c r="AW242" s="1" t="e">
        <f>VLOOKUP(AU242,AL243:AS244,6,0)</f>
        <v>#VALUE!</v>
      </c>
      <c r="BB242" s="48" t="e">
        <v>#REF!</v>
      </c>
      <c r="BC242" s="186" t="e">
        <v>#REF!</v>
      </c>
      <c r="BD242" s="48" t="e">
        <v>#REF!</v>
      </c>
      <c r="BE242" s="1" t="e">
        <f t="shared" ref="BE242:BE281" si="30">IF(OR(ISNA(BD242),BD242=""),"",1)</f>
        <v>#REF!</v>
      </c>
      <c r="BF242" s="48" t="e">
        <v>#REF!</v>
      </c>
      <c r="BG242" s="48" t="e">
        <v>#REF!</v>
      </c>
    </row>
    <row r="243" spans="2:59" ht="18" customHeight="1">
      <c r="B243" s="80"/>
      <c r="D243" s="37">
        <f>IF(AG270=2,1,0)</f>
        <v>0</v>
      </c>
      <c r="E243" s="44"/>
      <c r="F243" s="45"/>
      <c r="G243" s="45"/>
      <c r="H243" s="45"/>
      <c r="I243" s="45"/>
      <c r="J243" s="45"/>
      <c r="K243" s="45"/>
      <c r="L243" s="45"/>
      <c r="M243" s="45"/>
      <c r="N243" s="45"/>
      <c r="O243" s="45"/>
      <c r="P243" s="45"/>
      <c r="Q243" s="45"/>
      <c r="R243" s="45"/>
      <c r="S243" s="45"/>
      <c r="T243" s="45"/>
      <c r="U243" s="45"/>
      <c r="V243" s="46"/>
      <c r="W243" s="37">
        <f>IF(AG270=1,1,0)</f>
        <v>0</v>
      </c>
      <c r="AA243" s="907">
        <f>IF(AC242=AV_HF,POZ_RAM,
IF(AC242=AV_HF_SD,POZ_RAM,
IF(AC242=ZAVESY,VYR_ZAVES,
IF(AC242=AV_OST,TYP_AV,0))))</f>
        <v>0</v>
      </c>
      <c r="AB243" s="908"/>
      <c r="AC243" s="208"/>
      <c r="AD243" s="219" t="s">
        <v>1205</v>
      </c>
      <c r="AE243" s="169"/>
      <c r="AF243" s="87" t="str">
        <f>IF(AC239=AF240,"",AV_HF_SD)</f>
        <v/>
      </c>
      <c r="AH243" s="1">
        <f>IF(AC242=AV_HF,5,IF(AC242=AV_HF_SD,5,IF(AC242=AV_OST,5,8)))</f>
        <v>8</v>
      </c>
      <c r="AI243" s="190">
        <f>IF(AI242=1,$B$480,IF(AI242=2,$B$484,0))</f>
        <v>0</v>
      </c>
      <c r="AJ243" s="195" t="str">
        <f>IF(AC242=AV_HF,DOL_DV,
IF(AC242=AV_HF_SD,DOL_DV,
IF(AC242=AV_OST,AV_HK_TIP,
IF(AC242=ZAVESY,BLUM,""))))</f>
        <v/>
      </c>
      <c r="AK243" s="196" t="str">
        <f t="shared" si="29"/>
        <v/>
      </c>
      <c r="AL243" s="1">
        <v>1</v>
      </c>
      <c r="AM243" s="1">
        <f>IF(AC243=PRAZDNE_1,AI243,IF(AC243=BLUM,BC241,IF(AC243=STRONG_INT_TL,AI260,IF(AC243=STRONG_BINT_TL,AI256,IF(AC243=HETTICH,BB241,"")))))</f>
        <v>0</v>
      </c>
      <c r="AN243" s="1" t="str">
        <f t="shared" ref="AN243:AN257" si="31">IF(ISNA(VLOOKUP(AM243,$B$480:$C$615,2,0)),"",VLOOKUP(AM243,$B$480:$C$615,2,0))</f>
        <v/>
      </c>
      <c r="AO243" s="1" t="str">
        <f>CONCATENATE(AN243," (",AM243,")")</f>
        <v xml:space="preserve"> (0)</v>
      </c>
      <c r="AP243" s="199">
        <f t="array" ref="AP243:AP268">IF(OR(AC242=AV_HF,AC242=AV_HF_SD),HF_TYP_2_CILKA,
IF(AC243=AV_HL,TYP_RAM_AV_HL1,
IF(AC243=AV_HL_SD,TYP_RAM_AV_HL,
IF(OR(AC243=AV_HKXS,AC243=AV_HKXS_TIP),UMISTENI_RAM_HKXS,
IF(AC243=HETTICH,T1_PANT_HETTICH,
IF(AC243=BLUM,T1_PANT_BLUM,
IF(AC243=STRONG_BINT_TL,T1_PANT_STRONG_BTL,
IF(AC243=STRONG_INT_TL,T1_PANT_STRONG_STL,PRAZDNE_1))))))))</f>
        <v>0</v>
      </c>
      <c r="AQ243" s="194" t="str">
        <f>IF(OR(ISNA(AP243),AP243=0),"",1)</f>
        <v/>
      </c>
      <c r="AS243" s="202" t="e">
        <f>VLOOKUP(AR242,#REF!,8,0)</f>
        <v>#VALUE!</v>
      </c>
      <c r="AT243" s="194" t="e">
        <f>IF(OR(ISNA(AS243),AS243=0),"",1)</f>
        <v>#VALUE!</v>
      </c>
      <c r="AU243" s="1" t="e">
        <f>IF(OR(ISNA(AS243),AS243=0),PRAZDNE_1,VLOOKUP(AR242,#REF!,5,FALSE))</f>
        <v>#VALUE!</v>
      </c>
      <c r="BB243" s="48" t="e">
        <v>#REF!</v>
      </c>
      <c r="BC243" s="186" t="e">
        <v>#REF!</v>
      </c>
      <c r="BD243" s="48" t="e">
        <v>#REF!</v>
      </c>
      <c r="BE243" s="1" t="e">
        <f t="shared" si="30"/>
        <v>#REF!</v>
      </c>
      <c r="BF243" s="48" t="e">
        <v>#REF!</v>
      </c>
      <c r="BG243" s="48" t="e">
        <v>#REF!</v>
      </c>
    </row>
    <row r="244" spans="2:59" ht="18" customHeight="1">
      <c r="B244" s="80"/>
      <c r="D244" s="37"/>
      <c r="E244" s="44"/>
      <c r="F244" s="45"/>
      <c r="G244" s="45"/>
      <c r="H244" s="45"/>
      <c r="I244" s="45"/>
      <c r="J244" s="45"/>
      <c r="K244" s="45"/>
      <c r="L244" s="45"/>
      <c r="M244" s="45"/>
      <c r="N244" s="45"/>
      <c r="O244" s="45"/>
      <c r="P244" s="45"/>
      <c r="Q244" s="45"/>
      <c r="R244" s="32"/>
      <c r="S244" s="32"/>
      <c r="T244" s="32"/>
      <c r="U244" s="32"/>
      <c r="V244" s="33"/>
      <c r="W244" s="37"/>
      <c r="Y244" s="932"/>
      <c r="AA244" s="907" t="e">
        <f>#VALUE!</f>
        <v>#VALUE!</v>
      </c>
      <c r="AB244" s="908"/>
      <c r="AC244" s="208"/>
      <c r="AD244" s="220" t="s">
        <v>1206</v>
      </c>
      <c r="AE244" s="170" t="e">
        <f>IF(AA244=HM_UCH,0,AC244)</f>
        <v>#VALUE!</v>
      </c>
      <c r="AF244" s="87" t="str">
        <f>IF(AC239=AF240,"",AV_OST)</f>
        <v/>
      </c>
      <c r="AG244" s="1">
        <f>IF(AC243=AV_HL_SD,HM_UCH,IF(AC243=AV_HS_SD,HM_UCH,0))</f>
        <v>0</v>
      </c>
      <c r="AI244" s="191">
        <f>IF(AI242=1,$B$481,IF(AI242=2,$B$485,0))</f>
        <v>0</v>
      </c>
      <c r="AJ244" s="195" t="str">
        <f>IF(AC242=AV_OST,AV_HK_SD,
IF(AC242=ZAVESY,HETTICH,""))</f>
        <v/>
      </c>
      <c r="AK244" s="196" t="str">
        <f t="shared" si="29"/>
        <v/>
      </c>
      <c r="AL244" s="1">
        <v>2</v>
      </c>
      <c r="AM244" s="1">
        <f>IF(AC243=PRAZDNE_1,AI244,IF(AC243=BLUM,BC242,IF(AC243=STRONG_INT_TL,AI261,IF(AC243=STRONG_BINT_TL,AI257,IF(AC243=HETTICH,BB242,"")))))</f>
        <v>0</v>
      </c>
      <c r="AN244" s="1" t="str">
        <f t="shared" si="31"/>
        <v/>
      </c>
      <c r="AO244" s="1" t="str">
        <f t="shared" ref="AO244:AO268" si="32">CONCATENATE(AN244," (",AM244,")")</f>
        <v xml:space="preserve"> (0)</v>
      </c>
      <c r="AP244" s="200">
        <v>0</v>
      </c>
      <c r="AQ244" s="196" t="str">
        <f t="shared" ref="AQ244:AQ268" si="33">IF(OR(ISNA(AP244),AP244=0),"",1)</f>
        <v/>
      </c>
      <c r="AS244" s="203" t="e">
        <f>VLOOKUP(AR242,#REF!,9,0)</f>
        <v>#VALUE!</v>
      </c>
      <c r="AT244" s="196" t="e">
        <f t="shared" ref="AT244:AT252" si="34">IF(OR(ISNA(AS244),AS244=0),"",1)</f>
        <v>#VALUE!</v>
      </c>
      <c r="AU244" s="1" t="e">
        <f>IF(OR(ISNA(AS244),AS244=0),PRAZDNE_1,VLOOKUP(AR243,#REF!,5,FALSE))</f>
        <v>#VALUE!</v>
      </c>
      <c r="BB244" s="48" t="e">
        <v>#REF!</v>
      </c>
      <c r="BC244" s="186" t="e">
        <v>#REF!</v>
      </c>
      <c r="BD244" s="48" t="e">
        <v>#REF!</v>
      </c>
      <c r="BE244" s="1" t="e">
        <f t="shared" si="30"/>
        <v>#REF!</v>
      </c>
      <c r="BF244" s="48" t="e">
        <v>#REF!</v>
      </c>
      <c r="BG244" s="48" t="e">
        <v>#REF!</v>
      </c>
    </row>
    <row r="245" spans="2:59" ht="18" customHeight="1">
      <c r="B245" s="80"/>
      <c r="D245" s="37"/>
      <c r="E245" s="44"/>
      <c r="F245" s="45"/>
      <c r="G245" s="45"/>
      <c r="H245" s="45"/>
      <c r="I245" s="45"/>
      <c r="J245" s="45"/>
      <c r="K245" s="45"/>
      <c r="L245" s="45"/>
      <c r="M245" s="45"/>
      <c r="N245" s="45"/>
      <c r="O245" s="45"/>
      <c r="P245" s="45"/>
      <c r="Q245" s="45"/>
      <c r="R245" s="34" t="s">
        <v>15</v>
      </c>
      <c r="S245" s="45"/>
      <c r="T245" s="45"/>
      <c r="U245" s="49"/>
      <c r="V245" s="46"/>
      <c r="W245" s="37"/>
      <c r="Y245" s="933"/>
      <c r="AA245" s="907">
        <f>IF(AC242=AV_HF,HM_UCH,
IF(AC243=AV_HL,HM_UCH,
IF('Běžné rámečky'!AC243=AV_HL_SD,HM_UCH,
IF(AC242=AV_HF_SD,HM_UCH,
IF(AC242=ZAVESY,TYP_PODL,IF(AC243=AV_HKXS,HM_UCH,0))))))</f>
        <v>0</v>
      </c>
      <c r="AB245" s="908"/>
      <c r="AC245" s="208"/>
      <c r="AD245" s="220" t="s">
        <v>1516</v>
      </c>
      <c r="AE245" s="170">
        <f>IF(AA245=HM_UCH,0,AC245)</f>
        <v>0</v>
      </c>
      <c r="AF245" s="87" t="str">
        <f>IF(AC239=$B$372,0,$J$353)</f>
        <v>Závěsy se zvedacím pístem</v>
      </c>
      <c r="AI245" s="191">
        <f>IF(AI242=1,$B$482,IF(AI242=2,$B$486,0))</f>
        <v>0</v>
      </c>
      <c r="AJ245" s="195" t="str">
        <f>IF(AC242=AV_OST,AV_HL,
IF(AC242=ZAVESY,STRONG_INT_TL,""))</f>
        <v/>
      </c>
      <c r="AK245" s="196" t="str">
        <f t="shared" si="29"/>
        <v/>
      </c>
      <c r="AL245" s="1">
        <v>3</v>
      </c>
      <c r="AM245" s="1">
        <f>IF(AC243=PRAZDNE_1,AI245,IF(AC243=BLUM,BC243,IF(AC243=STRONG_INT_TL,AI262,IF(AC243=STRONG_BINT_TL,AI258,IF(AC243=HETTICH,BB243,"")))))</f>
        <v>0</v>
      </c>
      <c r="AN245" s="1" t="str">
        <f t="shared" si="31"/>
        <v/>
      </c>
      <c r="AO245" s="1" t="str">
        <f t="shared" si="32"/>
        <v xml:space="preserve"> (0)</v>
      </c>
      <c r="AP245" s="200">
        <v>0</v>
      </c>
      <c r="AQ245" s="196" t="str">
        <f t="shared" si="33"/>
        <v/>
      </c>
      <c r="AS245" s="203" t="e">
        <f>VLOOKUP(AR242,#REF!,10,0)</f>
        <v>#VALUE!</v>
      </c>
      <c r="AT245" s="196" t="e">
        <f t="shared" si="34"/>
        <v>#VALUE!</v>
      </c>
      <c r="AU245" s="1" t="e">
        <f>IF(OR(ISNA(AS245),AS245=0),PRAZDNE_1,VLOOKUP(AR244,#REF!,5,FALSE))</f>
        <v>#VALUE!</v>
      </c>
      <c r="BB245" s="48" t="e">
        <v>#REF!</v>
      </c>
      <c r="BC245" s="186" t="e">
        <v>#REF!</v>
      </c>
      <c r="BD245" s="48" t="e">
        <v>#REF!</v>
      </c>
      <c r="BE245" s="1" t="e">
        <f t="shared" si="30"/>
        <v>#REF!</v>
      </c>
      <c r="BF245" s="48" t="e">
        <v>#REF!</v>
      </c>
      <c r="BG245" s="48" t="e">
        <v>#REF!</v>
      </c>
    </row>
    <row r="246" spans="2:59" ht="18" customHeight="1">
      <c r="B246" s="80"/>
      <c r="D246" s="37" t="b">
        <f>IF(AG270=2,IF(AC246=4,1,0))</f>
        <v>0</v>
      </c>
      <c r="E246" s="44"/>
      <c r="F246" s="45"/>
      <c r="G246" s="45"/>
      <c r="H246" s="45"/>
      <c r="I246" s="45"/>
      <c r="J246" s="45"/>
      <c r="K246" s="45"/>
      <c r="L246" s="45"/>
      <c r="M246" s="45"/>
      <c r="N246" s="45"/>
      <c r="O246" s="45"/>
      <c r="P246" s="45"/>
      <c r="Q246" s="45"/>
      <c r="R246" s="45"/>
      <c r="S246" s="50"/>
      <c r="T246" s="51"/>
      <c r="U246" s="49"/>
      <c r="V246" s="46"/>
      <c r="W246" s="37" t="b">
        <f>IF(AG270=1,IF(AC246=4,1,0))</f>
        <v>0</v>
      </c>
      <c r="X246" s="30"/>
      <c r="Y246" s="933"/>
      <c r="AA246" s="907">
        <f>IF(AC242=ZAVESY,POC_ZAVES,0)</f>
        <v>0</v>
      </c>
      <c r="AB246" s="908"/>
      <c r="AC246" s="207"/>
      <c r="AD246" s="167" t="s">
        <v>1194</v>
      </c>
      <c r="AE246" s="168"/>
      <c r="AI246" s="191">
        <f>IF(AI242=1,$B$483,IF(AI242=2,$B$487,0))</f>
        <v>0</v>
      </c>
      <c r="AJ246" s="195" t="str">
        <f>IF(AC242=AV_OST,AV_HL_SD,
IF(AC242=ZAVESY,STRONG_BINT_TL,""))</f>
        <v/>
      </c>
      <c r="AK246" s="196" t="str">
        <f t="shared" si="29"/>
        <v/>
      </c>
      <c r="AL246" s="1">
        <v>4</v>
      </c>
      <c r="AM246" s="1">
        <f>IF(AC243=PRAZDNE_1,AI246,IF(AC243=BLUM,BC244,IF(AC243=STRONG_INT_TL,AI263,IF(AC243=STRONG_BINT_TL,AI259,IF(AC243=HETTICH,BB244,"")))))</f>
        <v>0</v>
      </c>
      <c r="AN246" s="1" t="str">
        <f t="shared" si="31"/>
        <v/>
      </c>
      <c r="AO246" s="1" t="str">
        <f t="shared" si="32"/>
        <v xml:space="preserve"> (0)</v>
      </c>
      <c r="AP246" s="200">
        <v>0</v>
      </c>
      <c r="AQ246" s="196" t="str">
        <f t="shared" si="33"/>
        <v/>
      </c>
      <c r="AS246" s="203" t="e">
        <f>VLOOKUP(AR242,#REF!,11,0)</f>
        <v>#VALUE!</v>
      </c>
      <c r="AT246" s="196" t="e">
        <f t="shared" si="34"/>
        <v>#VALUE!</v>
      </c>
      <c r="BB246" s="48" t="e">
        <v>#REF!</v>
      </c>
      <c r="BC246" s="186" t="e">
        <v>#REF!</v>
      </c>
      <c r="BD246" s="48" t="e">
        <v>#REF!</v>
      </c>
      <c r="BE246" s="1" t="e">
        <f t="shared" si="30"/>
        <v>#REF!</v>
      </c>
      <c r="BF246" s="48" t="e">
        <v>#REF!</v>
      </c>
      <c r="BG246" s="48" t="e">
        <v>#REF!</v>
      </c>
    </row>
    <row r="247" spans="2:59" ht="18" customHeight="1">
      <c r="B247" s="80"/>
      <c r="D247" s="37"/>
      <c r="E247" s="44"/>
      <c r="F247" s="45"/>
      <c r="G247" s="45"/>
      <c r="H247" s="45"/>
      <c r="I247" s="45"/>
      <c r="J247" s="45"/>
      <c r="K247" s="45"/>
      <c r="L247" s="45"/>
      <c r="M247" s="45"/>
      <c r="N247" s="45"/>
      <c r="O247" s="45"/>
      <c r="P247" s="45"/>
      <c r="Q247" s="45"/>
      <c r="R247" s="45"/>
      <c r="S247" s="931"/>
      <c r="T247" s="51"/>
      <c r="U247" s="49"/>
      <c r="V247" s="46"/>
      <c r="W247" s="37"/>
      <c r="Y247" s="933"/>
      <c r="AA247" s="907">
        <f>IF(AC242=ZAVESY,VZD_ZAVES,0)</f>
        <v>0</v>
      </c>
      <c r="AB247" s="908"/>
      <c r="AC247" s="209"/>
      <c r="AD247" s="167" t="s">
        <v>1195</v>
      </c>
      <c r="AE247" s="171"/>
      <c r="AF247" s="948"/>
      <c r="AI247" s="191">
        <f>IF(AI242=2,$B$488,0)</f>
        <v>0</v>
      </c>
      <c r="AJ247" s="195" t="str">
        <f>IF(AC242=AV_OST,AV_HS,
IF(AC242=ZAVESY,
IF(AI242=1,PANT_STRONG_PLUS_SLIM,PANT_STRONG_SLIM_BTL),""))</f>
        <v/>
      </c>
      <c r="AK247" s="196" t="str">
        <f t="shared" si="29"/>
        <v/>
      </c>
      <c r="AL247" s="1">
        <v>5</v>
      </c>
      <c r="AM247" s="1">
        <f>IF(AC243=PRAZDNE_1,AI247,IF(AC243=BLUM,BC245,IF(AC243=HETTICH,BB245,"")))</f>
        <v>0</v>
      </c>
      <c r="AN247" s="1" t="str">
        <f t="shared" si="31"/>
        <v/>
      </c>
      <c r="AO247" s="1" t="str">
        <f t="shared" si="32"/>
        <v xml:space="preserve"> (0)</v>
      </c>
      <c r="AP247" s="200">
        <v>0</v>
      </c>
      <c r="AQ247" s="196" t="str">
        <f t="shared" si="33"/>
        <v/>
      </c>
      <c r="AS247" s="203" t="e">
        <f>VLOOKUP(AR242,#REF!,12,0)</f>
        <v>#VALUE!</v>
      </c>
      <c r="AT247" s="196" t="e">
        <f t="shared" si="34"/>
        <v>#VALUE!</v>
      </c>
      <c r="BB247" s="48" t="e">
        <v>#REF!</v>
      </c>
      <c r="BC247" s="186" t="e">
        <v>#REF!</v>
      </c>
      <c r="BD247" s="48" t="e">
        <v>#REF!</v>
      </c>
      <c r="BE247" s="1" t="e">
        <f t="shared" si="30"/>
        <v>#REF!</v>
      </c>
      <c r="BF247" s="48" t="e">
        <v>#REF!</v>
      </c>
      <c r="BG247" s="48" t="e">
        <v>#REF!</v>
      </c>
    </row>
    <row r="248" spans="2:59" ht="24.75" customHeight="1" thickBot="1">
      <c r="B248" s="80"/>
      <c r="D248" s="37"/>
      <c r="E248" s="44"/>
      <c r="F248" s="45"/>
      <c r="G248" s="45"/>
      <c r="H248" s="45"/>
      <c r="I248" s="45"/>
      <c r="J248" s="45"/>
      <c r="K248" s="45"/>
      <c r="L248" s="45"/>
      <c r="M248" s="45"/>
      <c r="N248" s="45"/>
      <c r="O248" s="45"/>
      <c r="P248" s="45"/>
      <c r="Q248" s="45"/>
      <c r="R248" s="45"/>
      <c r="S248" s="931"/>
      <c r="T248" s="51"/>
      <c r="U248" s="49"/>
      <c r="V248" s="46"/>
      <c r="W248" s="37"/>
      <c r="Y248" s="933"/>
      <c r="AA248" s="188"/>
      <c r="AB248" s="189"/>
      <c r="AC248" s="210"/>
      <c r="AD248" s="221"/>
      <c r="AE248" s="172"/>
      <c r="AF248" s="948"/>
      <c r="AI248" s="192">
        <f>IF(AI242=2,$B$489,0)</f>
        <v>0</v>
      </c>
      <c r="AJ248" s="195" t="str">
        <f>IF(AC242=AV_OST,AV_HS_SD,"")</f>
        <v/>
      </c>
      <c r="AK248" s="196" t="str">
        <f t="shared" si="29"/>
        <v/>
      </c>
      <c r="AL248" s="1">
        <v>6</v>
      </c>
      <c r="AM248" s="1">
        <f>IF(AC243=PRAZDNE_1,AI248,IF(AC243=BLUM,BC246,IF(AC243=HETTICH,BB246,"")))</f>
        <v>0</v>
      </c>
      <c r="AN248" s="1" t="str">
        <f t="shared" si="31"/>
        <v/>
      </c>
      <c r="AO248" s="1" t="str">
        <f t="shared" si="32"/>
        <v xml:space="preserve"> (0)</v>
      </c>
      <c r="AP248" s="200">
        <v>0</v>
      </c>
      <c r="AQ248" s="196" t="str">
        <f t="shared" si="33"/>
        <v/>
      </c>
      <c r="AS248" s="203" t="e">
        <f>VLOOKUP(AR242,#REF!,13,0)</f>
        <v>#VALUE!</v>
      </c>
      <c r="AT248" s="196" t="e">
        <f t="shared" si="34"/>
        <v>#VALUE!</v>
      </c>
      <c r="BB248" s="48" t="e">
        <v>#REF!</v>
      </c>
      <c r="BC248" s="186" t="e">
        <v>#REF!</v>
      </c>
      <c r="BD248" s="48" t="e">
        <v>#REF!</v>
      </c>
      <c r="BE248" s="1" t="e">
        <f t="shared" si="30"/>
        <v>#REF!</v>
      </c>
      <c r="BF248" s="48" t="e">
        <v>#REF!</v>
      </c>
      <c r="BG248" s="48" t="e">
        <v>#REF!</v>
      </c>
    </row>
    <row r="249" spans="2:59" ht="18.75">
      <c r="B249" s="80"/>
      <c r="D249" s="37"/>
      <c r="E249" s="44"/>
      <c r="F249" s="45"/>
      <c r="G249" s="45"/>
      <c r="H249" s="45"/>
      <c r="I249" s="45"/>
      <c r="J249" s="45"/>
      <c r="K249" s="45"/>
      <c r="L249" s="45"/>
      <c r="M249" s="45"/>
      <c r="N249" s="45"/>
      <c r="O249" s="45"/>
      <c r="P249" s="45"/>
      <c r="Q249" s="45"/>
      <c r="R249" s="45"/>
      <c r="S249" s="931"/>
      <c r="T249" s="51"/>
      <c r="U249" s="49"/>
      <c r="V249" s="46"/>
      <c r="W249" s="37"/>
      <c r="Y249" s="933"/>
      <c r="AA249" s="188"/>
      <c r="AB249" s="189"/>
      <c r="AC249" s="210"/>
      <c r="AD249" s="221"/>
      <c r="AE249" s="172"/>
      <c r="AF249" s="948"/>
      <c r="AI249" s="190">
        <f>IF(AI242=1,$B$499,IF(AI242=2,$B$507,0))</f>
        <v>0</v>
      </c>
      <c r="AJ249" s="195" t="str">
        <f>IF(AC242=AV_OST,AV_HKS,"")</f>
        <v/>
      </c>
      <c r="AK249" s="196" t="str">
        <f t="shared" si="29"/>
        <v/>
      </c>
      <c r="AL249" s="1">
        <v>7</v>
      </c>
      <c r="AM249" s="1" t="str">
        <f>IF(AC243=HETTICH,BB247,IF(AC243=BLUM,BC247,""))</f>
        <v/>
      </c>
      <c r="AN249" s="1" t="str">
        <f t="shared" si="31"/>
        <v/>
      </c>
      <c r="AO249" s="1" t="str">
        <f t="shared" si="32"/>
        <v xml:space="preserve"> ()</v>
      </c>
      <c r="AP249" s="200">
        <v>0</v>
      </c>
      <c r="AQ249" s="196" t="str">
        <f t="shared" si="33"/>
        <v/>
      </c>
      <c r="AS249" s="203"/>
      <c r="AT249" s="196" t="str">
        <f t="shared" si="34"/>
        <v/>
      </c>
      <c r="BB249" s="48" t="e">
        <v>#REF!</v>
      </c>
      <c r="BC249" s="186" t="e">
        <v>#REF!</v>
      </c>
      <c r="BD249" s="48" t="e">
        <v>#REF!</v>
      </c>
      <c r="BE249" s="1" t="e">
        <f t="shared" si="30"/>
        <v>#REF!</v>
      </c>
      <c r="BF249" s="48" t="e">
        <v>#REF!</v>
      </c>
      <c r="BG249" s="48" t="e">
        <v>#REF!</v>
      </c>
    </row>
    <row r="250" spans="2:59" ht="18" customHeight="1">
      <c r="B250" s="80"/>
      <c r="D250" s="37" t="b">
        <f>IF(AG270=2,IF(AC246=3,1,0))</f>
        <v>0</v>
      </c>
      <c r="E250" s="44"/>
      <c r="F250" s="45"/>
      <c r="G250" s="45"/>
      <c r="H250" s="45"/>
      <c r="I250" s="45"/>
      <c r="J250" s="45"/>
      <c r="K250" s="45"/>
      <c r="L250" s="45"/>
      <c r="M250" s="45"/>
      <c r="N250" s="45"/>
      <c r="O250" s="45"/>
      <c r="P250" s="45"/>
      <c r="Q250" s="45"/>
      <c r="R250" s="45"/>
      <c r="S250" s="931"/>
      <c r="T250" s="51"/>
      <c r="U250" s="49"/>
      <c r="V250" s="46"/>
      <c r="W250" s="37" t="b">
        <f>IF(AG270=1,IF(AC246=3,1,0))</f>
        <v>0</v>
      </c>
      <c r="Y250" s="933"/>
      <c r="AA250" s="907">
        <f>IF(AC242=ZAVESY,Ceny!$B$196,0)</f>
        <v>0</v>
      </c>
      <c r="AB250" s="908"/>
      <c r="AC250" s="207"/>
      <c r="AD250" s="167" t="s">
        <v>1196</v>
      </c>
      <c r="AE250" s="168"/>
      <c r="AG250" s="1">
        <v>2</v>
      </c>
      <c r="AH250" s="1">
        <f>IF(AC242=ZAVESY,AG250,0)</f>
        <v>0</v>
      </c>
      <c r="AI250" s="191">
        <f>IF(AI242=1,$B$500,IF(AI242=2,$B$508,0))</f>
        <v>0</v>
      </c>
      <c r="AJ250" s="195" t="str">
        <f>IF(AC242=AV_OST,AV_HKS_TIP,"")</f>
        <v/>
      </c>
      <c r="AK250" s="196" t="str">
        <f t="shared" si="29"/>
        <v/>
      </c>
      <c r="AL250" s="1">
        <v>8</v>
      </c>
      <c r="AM250" s="1" t="str">
        <f>IF(AC243=HETTICH,BB248,IF(AC243=BLUM,BC248,""))</f>
        <v/>
      </c>
      <c r="AN250" s="1" t="str">
        <f t="shared" si="31"/>
        <v/>
      </c>
      <c r="AO250" s="1" t="str">
        <f t="shared" si="32"/>
        <v xml:space="preserve"> ()</v>
      </c>
      <c r="AP250" s="200">
        <v>0</v>
      </c>
      <c r="AQ250" s="196" t="str">
        <f t="shared" si="33"/>
        <v/>
      </c>
      <c r="AS250" s="203"/>
      <c r="AT250" s="196" t="str">
        <f t="shared" si="34"/>
        <v/>
      </c>
      <c r="BB250" s="48" t="e">
        <v>#REF!</v>
      </c>
      <c r="BC250" s="186" t="e">
        <v>#REF!</v>
      </c>
      <c r="BD250" s="48" t="e">
        <v>#REF!</v>
      </c>
      <c r="BE250" s="1" t="e">
        <f t="shared" si="30"/>
        <v>#REF!</v>
      </c>
      <c r="BF250" s="48" t="e">
        <v>#REF!</v>
      </c>
      <c r="BG250" s="48" t="e">
        <v>#REF!</v>
      </c>
    </row>
    <row r="251" spans="2:59" ht="18" customHeight="1">
      <c r="B251" s="80"/>
      <c r="D251" s="37"/>
      <c r="E251" s="44"/>
      <c r="F251" s="45"/>
      <c r="G251" s="45"/>
      <c r="H251" s="45"/>
      <c r="I251" s="45"/>
      <c r="J251" s="45"/>
      <c r="K251" s="45"/>
      <c r="L251" s="45"/>
      <c r="M251" s="45"/>
      <c r="N251" s="45"/>
      <c r="O251" s="45"/>
      <c r="P251" s="45"/>
      <c r="Q251" s="45"/>
      <c r="R251" s="45"/>
      <c r="S251" s="904"/>
      <c r="T251" s="51"/>
      <c r="U251" s="49"/>
      <c r="V251" s="46"/>
      <c r="W251" s="37"/>
      <c r="Y251" s="933"/>
      <c r="AA251" s="907">
        <f>IF(AG270=1,0,IF(AG270=2,0,IF(AC242=ZAVESY,IF(BD238=2,0,Ceny!$B$184),0)))</f>
        <v>0</v>
      </c>
      <c r="AB251" s="908"/>
      <c r="AC251" s="152"/>
      <c r="AD251" s="167" t="s">
        <v>1517</v>
      </c>
      <c r="AE251" s="168"/>
      <c r="AF251" s="87" t="b">
        <v>1</v>
      </c>
      <c r="AG251" s="1">
        <v>3</v>
      </c>
      <c r="AH251" s="1">
        <f>IF(AC242=ZAVESY,AG251,0)</f>
        <v>0</v>
      </c>
      <c r="AI251" s="191">
        <f>IF(AI242=1,$B$501,IF(AI242=2,$B$509,0))</f>
        <v>0</v>
      </c>
      <c r="AJ251" s="195" t="str">
        <f>IF(AC242=AV_OST,AV_HKXS,"")</f>
        <v/>
      </c>
      <c r="AK251" s="196" t="str">
        <f t="shared" si="29"/>
        <v/>
      </c>
      <c r="AL251" s="1">
        <v>9</v>
      </c>
      <c r="AM251" s="1" t="str">
        <f>IF(AC243=HETTICH,BB249,IF(AC243=BLUM,BC249,""))</f>
        <v/>
      </c>
      <c r="AN251" s="1" t="str">
        <f t="shared" si="31"/>
        <v/>
      </c>
      <c r="AO251" s="1" t="str">
        <f t="shared" si="32"/>
        <v xml:space="preserve"> ()</v>
      </c>
      <c r="AP251" s="200">
        <v>0</v>
      </c>
      <c r="AQ251" s="196" t="str">
        <f t="shared" si="33"/>
        <v/>
      </c>
      <c r="AS251" s="203"/>
      <c r="AT251" s="196" t="str">
        <f t="shared" si="34"/>
        <v/>
      </c>
      <c r="BB251" s="48" t="e">
        <v>#REF!</v>
      </c>
      <c r="BC251" s="186" t="e">
        <v>#REF!</v>
      </c>
      <c r="BD251" s="48" t="e">
        <v>#REF!</v>
      </c>
      <c r="BE251" s="1" t="e">
        <f t="shared" si="30"/>
        <v>#REF!</v>
      </c>
      <c r="BF251" s="48" t="e">
        <v>#REF!</v>
      </c>
      <c r="BG251" s="48" t="e">
        <v>#REF!</v>
      </c>
    </row>
    <row r="252" spans="2:59" ht="18" customHeight="1" thickBot="1">
      <c r="B252" s="80"/>
      <c r="D252" s="37" t="b">
        <f>IF(AG270=2,IF(AC246=4,1,0))</f>
        <v>0</v>
      </c>
      <c r="E252" s="44"/>
      <c r="F252" s="45"/>
      <c r="G252" s="45"/>
      <c r="H252" s="45"/>
      <c r="I252" s="45"/>
      <c r="J252" s="45"/>
      <c r="K252" s="45"/>
      <c r="L252" s="45"/>
      <c r="M252" s="45"/>
      <c r="N252" s="45"/>
      <c r="O252" s="45"/>
      <c r="P252" s="45"/>
      <c r="Q252" s="45"/>
      <c r="R252" s="45"/>
      <c r="S252" s="51"/>
      <c r="T252" s="51"/>
      <c r="U252" s="49"/>
      <c r="V252" s="46"/>
      <c r="W252" s="37" t="b">
        <f>IF(AG270=1,IF(AC246=4,1,0))</f>
        <v>0</v>
      </c>
      <c r="Y252" s="943" t="str">
        <f>Ceny_n!$B$136</f>
        <v>Výška</v>
      </c>
      <c r="AA252" s="946">
        <f>IF(AC251=0,0,Ceny!$B$186)</f>
        <v>0</v>
      </c>
      <c r="AB252" s="947"/>
      <c r="AC252" s="153"/>
      <c r="AD252" s="167" t="s">
        <v>1198</v>
      </c>
      <c r="AE252" s="168"/>
      <c r="AG252" s="1">
        <v>4</v>
      </c>
      <c r="AH252" s="1">
        <f>IF(AC242=ZAVESY,AG252,0)</f>
        <v>0</v>
      </c>
      <c r="AI252" s="191">
        <f>IF(AI242=1,$B$502,IF(AI242=2,$B$510,0))</f>
        <v>0</v>
      </c>
      <c r="AJ252" s="197" t="str">
        <f>IF(AC242=AV_OST,AV_HKXS_TIP,"")</f>
        <v/>
      </c>
      <c r="AK252" s="198" t="str">
        <f t="shared" si="29"/>
        <v/>
      </c>
      <c r="AL252" s="1">
        <v>10</v>
      </c>
      <c r="AM252" s="1" t="str">
        <f>IF(AC243=HETTICH,BB250,IF(AC243=BLUM,BC250,""))</f>
        <v/>
      </c>
      <c r="AN252" s="1" t="str">
        <f t="shared" si="31"/>
        <v/>
      </c>
      <c r="AO252" s="1" t="str">
        <f t="shared" si="32"/>
        <v xml:space="preserve"> ()</v>
      </c>
      <c r="AP252" s="200">
        <v>0</v>
      </c>
      <c r="AQ252" s="196" t="str">
        <f t="shared" si="33"/>
        <v/>
      </c>
      <c r="AS252" s="204"/>
      <c r="AT252" s="198" t="str">
        <f t="shared" si="34"/>
        <v/>
      </c>
      <c r="BB252" s="48" t="e">
        <v>#REF!</v>
      </c>
      <c r="BC252" s="186" t="e">
        <v>#REF!</v>
      </c>
      <c r="BD252" s="48" t="e">
        <v>#REF!</v>
      </c>
      <c r="BE252" s="1" t="e">
        <f t="shared" si="30"/>
        <v>#REF!</v>
      </c>
      <c r="BF252" s="48" t="e">
        <v>#REF!</v>
      </c>
      <c r="BG252" s="48" t="e">
        <v>#REF!</v>
      </c>
    </row>
    <row r="253" spans="2:59" ht="0.75" customHeight="1">
      <c r="B253" s="80"/>
      <c r="D253" s="37"/>
      <c r="E253" s="44"/>
      <c r="F253" s="45"/>
      <c r="G253" s="45"/>
      <c r="H253" s="45"/>
      <c r="I253" s="45"/>
      <c r="J253" s="45"/>
      <c r="K253" s="45"/>
      <c r="L253" s="45"/>
      <c r="M253" s="45"/>
      <c r="N253" s="45"/>
      <c r="O253" s="45"/>
      <c r="P253" s="45"/>
      <c r="Q253" s="45"/>
      <c r="R253" s="45"/>
      <c r="S253" s="51"/>
      <c r="T253" s="51"/>
      <c r="U253" s="49"/>
      <c r="V253" s="46"/>
      <c r="W253" s="37"/>
      <c r="Y253" s="943"/>
      <c r="AA253" s="998"/>
      <c r="AB253" s="921" t="str">
        <f>Ceny_n!$B$185</f>
        <v>Dodat včetně uvedeného kování</v>
      </c>
      <c r="AC253" s="922"/>
      <c r="AD253" s="222"/>
      <c r="AE253" s="173"/>
      <c r="AG253" s="1">
        <v>5</v>
      </c>
      <c r="AH253" s="1">
        <f>IF(AC242=ZAVESY,AG253,0)</f>
        <v>0</v>
      </c>
      <c r="AI253" s="48">
        <f>IF(AI242=1,$B$503,IF(AI242=2,$B$511,0))</f>
        <v>0</v>
      </c>
      <c r="AK253" s="1" t="str">
        <f t="shared" si="29"/>
        <v/>
      </c>
      <c r="AL253" s="1">
        <v>11</v>
      </c>
      <c r="AM253" s="1">
        <f>IF(AC243=HETTICH,BB251,IF(AC243=BLUM,BC251,))</f>
        <v>0</v>
      </c>
      <c r="AN253" s="1" t="str">
        <f t="shared" si="31"/>
        <v/>
      </c>
      <c r="AO253" s="1" t="str">
        <f t="shared" si="32"/>
        <v xml:space="preserve"> (0)</v>
      </c>
      <c r="AP253" s="200">
        <v>0</v>
      </c>
      <c r="AQ253" s="196" t="str">
        <f t="shared" si="33"/>
        <v/>
      </c>
      <c r="BB253" s="48" t="e">
        <v>#REF!</v>
      </c>
      <c r="BC253" s="186" t="e">
        <v>#REF!</v>
      </c>
      <c r="BD253" s="48" t="e">
        <v>#REF!</v>
      </c>
      <c r="BE253" s="1" t="e">
        <f t="shared" si="30"/>
        <v>#REF!</v>
      </c>
      <c r="BF253" s="48" t="e">
        <v>#REF!</v>
      </c>
      <c r="BG253" s="48" t="e">
        <v>#REF!</v>
      </c>
    </row>
    <row r="254" spans="2:59" ht="15.75">
      <c r="B254" s="80"/>
      <c r="D254" s="37"/>
      <c r="E254" s="44"/>
      <c r="F254" s="45"/>
      <c r="G254" s="45"/>
      <c r="H254" s="45"/>
      <c r="I254" s="45"/>
      <c r="J254" s="45"/>
      <c r="K254" s="45"/>
      <c r="L254" s="45"/>
      <c r="M254" s="45"/>
      <c r="N254" s="45"/>
      <c r="O254" s="45"/>
      <c r="P254" s="45"/>
      <c r="Q254" s="45"/>
      <c r="R254" s="45"/>
      <c r="S254" s="45"/>
      <c r="T254" s="45"/>
      <c r="U254" s="45"/>
      <c r="V254" s="46"/>
      <c r="W254" s="37"/>
      <c r="Y254" s="943"/>
      <c r="AA254" s="999"/>
      <c r="AB254" s="923"/>
      <c r="AC254" s="924"/>
      <c r="AD254" s="222"/>
      <c r="AE254" s="173"/>
      <c r="AI254" s="48">
        <f>IF(AI242=1,$B$504,IF(AI242=2,$B$513,0))</f>
        <v>0</v>
      </c>
      <c r="AL254" s="1">
        <v>12</v>
      </c>
      <c r="AM254" s="1" t="str">
        <f>IF(AC243=HETTICH,BB252,IF(AC243=BLUM,BC252,""))</f>
        <v/>
      </c>
      <c r="AN254" s="1" t="str">
        <f t="shared" si="31"/>
        <v/>
      </c>
      <c r="AO254" s="1" t="str">
        <f t="shared" si="32"/>
        <v xml:space="preserve"> ()</v>
      </c>
      <c r="AP254" s="200">
        <v>0</v>
      </c>
      <c r="AQ254" s="196" t="str">
        <f t="shared" si="33"/>
        <v/>
      </c>
      <c r="BB254" s="48" t="e">
        <v>#REF!</v>
      </c>
      <c r="BC254" s="186" t="e">
        <v>#REF!</v>
      </c>
      <c r="BD254" s="48" t="e">
        <v>#REF!</v>
      </c>
      <c r="BE254" s="1" t="e">
        <f t="shared" si="30"/>
        <v>#REF!</v>
      </c>
      <c r="BF254" s="48" t="e">
        <v>#REF!</v>
      </c>
      <c r="BG254" s="48" t="e">
        <v>#REF!</v>
      </c>
    </row>
    <row r="255" spans="2:59" ht="3" customHeight="1" thickBot="1">
      <c r="B255" s="80"/>
      <c r="D255" s="37"/>
      <c r="E255" s="44"/>
      <c r="F255" s="45"/>
      <c r="G255" s="45"/>
      <c r="H255" s="45"/>
      <c r="I255" s="45"/>
      <c r="J255" s="45"/>
      <c r="K255" s="45"/>
      <c r="L255" s="45"/>
      <c r="M255" s="45"/>
      <c r="N255" s="45"/>
      <c r="O255" s="45"/>
      <c r="P255" s="45"/>
      <c r="Q255" s="45"/>
      <c r="R255" s="45"/>
      <c r="S255" s="45"/>
      <c r="T255" s="45"/>
      <c r="U255" s="939"/>
      <c r="V255" s="46"/>
      <c r="W255" s="37"/>
      <c r="Y255" s="943"/>
      <c r="AA255" s="999"/>
      <c r="AB255" s="923"/>
      <c r="AC255" s="924"/>
      <c r="AD255" s="222"/>
      <c r="AE255" s="173"/>
      <c r="AI255" s="52">
        <f>IF(AI242=1,$B$506,0)</f>
        <v>0</v>
      </c>
      <c r="AL255" s="1">
        <v>13</v>
      </c>
      <c r="AM255" s="180"/>
      <c r="AN255" s="1" t="str">
        <f t="shared" si="31"/>
        <v/>
      </c>
      <c r="AO255" s="1" t="str">
        <f t="shared" si="32"/>
        <v xml:space="preserve"> ()</v>
      </c>
      <c r="AP255" s="200">
        <v>0</v>
      </c>
      <c r="AQ255" s="196" t="str">
        <f t="shared" si="33"/>
        <v/>
      </c>
      <c r="BB255" s="48" t="e">
        <v>#REF!</v>
      </c>
      <c r="BC255" s="186" t="e">
        <v>#REF!</v>
      </c>
      <c r="BD255" s="48" t="e">
        <v>#REF!</v>
      </c>
      <c r="BE255" s="1" t="e">
        <f t="shared" si="30"/>
        <v>#REF!</v>
      </c>
      <c r="BF255" s="48" t="e">
        <v>#REF!</v>
      </c>
      <c r="BG255" s="48" t="e">
        <v>#REF!</v>
      </c>
    </row>
    <row r="256" spans="2:59" ht="12.75" customHeight="1">
      <c r="B256" s="80"/>
      <c r="D256" s="37"/>
      <c r="E256" s="44"/>
      <c r="F256" s="45"/>
      <c r="G256" s="45"/>
      <c r="H256" s="45"/>
      <c r="I256" s="45"/>
      <c r="J256" s="45"/>
      <c r="K256" s="45"/>
      <c r="L256" s="45"/>
      <c r="M256" s="45"/>
      <c r="N256" s="45"/>
      <c r="O256" s="45"/>
      <c r="P256" s="45"/>
      <c r="Q256" s="45"/>
      <c r="R256" s="45"/>
      <c r="S256" s="45"/>
      <c r="T256" s="45"/>
      <c r="U256" s="940"/>
      <c r="V256" s="46"/>
      <c r="W256" s="37"/>
      <c r="Y256" s="943"/>
      <c r="AA256" s="1000"/>
      <c r="AB256" s="925"/>
      <c r="AC256" s="926"/>
      <c r="AD256" s="222"/>
      <c r="AE256" s="173"/>
      <c r="AI256" s="47">
        <f>IF(AI242=2,$B$520,0)</f>
        <v>0</v>
      </c>
      <c r="AL256" s="1">
        <v>14</v>
      </c>
      <c r="AN256" s="1" t="str">
        <f t="shared" si="31"/>
        <v/>
      </c>
      <c r="AO256" s="1" t="str">
        <f t="shared" si="32"/>
        <v xml:space="preserve"> ()</v>
      </c>
      <c r="AP256" s="200">
        <v>0</v>
      </c>
      <c r="AQ256" s="196" t="str">
        <f t="shared" si="33"/>
        <v/>
      </c>
      <c r="BB256" s="48" t="e">
        <v>#REF!</v>
      </c>
      <c r="BC256" s="186" t="e">
        <v>#REF!</v>
      </c>
      <c r="BD256" s="48" t="e">
        <v>#REF!</v>
      </c>
      <c r="BE256" s="1" t="e">
        <f t="shared" si="30"/>
        <v>#REF!</v>
      </c>
      <c r="BF256" s="48" t="e">
        <v>#REF!</v>
      </c>
      <c r="BG256" s="48" t="e">
        <v>#REF!</v>
      </c>
    </row>
    <row r="257" spans="2:59" ht="27" thickBot="1">
      <c r="B257" s="80"/>
      <c r="D257" s="37"/>
      <c r="E257" s="44"/>
      <c r="F257" s="45"/>
      <c r="G257" s="45"/>
      <c r="H257" s="45"/>
      <c r="I257" s="45"/>
      <c r="J257" s="45"/>
      <c r="K257" s="45"/>
      <c r="L257" s="45"/>
      <c r="M257" s="45"/>
      <c r="N257" s="45"/>
      <c r="O257" s="45"/>
      <c r="P257" s="45"/>
      <c r="Q257" s="45"/>
      <c r="R257" s="32" t="s">
        <v>15</v>
      </c>
      <c r="S257" s="45"/>
      <c r="T257" s="45"/>
      <c r="U257" s="45"/>
      <c r="V257" s="46"/>
      <c r="W257" s="37"/>
      <c r="Y257" s="943"/>
      <c r="AC257" s="76"/>
      <c r="AI257" s="48">
        <f>IF(AI242=2,$B$521,0)</f>
        <v>0</v>
      </c>
      <c r="AL257" s="1">
        <v>15</v>
      </c>
      <c r="AN257" s="1" t="str">
        <f t="shared" si="31"/>
        <v/>
      </c>
      <c r="AO257" s="1" t="str">
        <f t="shared" si="32"/>
        <v xml:space="preserve"> ()</v>
      </c>
      <c r="AP257" s="200">
        <v>0</v>
      </c>
      <c r="AQ257" s="196" t="str">
        <f t="shared" si="33"/>
        <v/>
      </c>
      <c r="BB257" s="48" t="e">
        <v>#REF!</v>
      </c>
      <c r="BC257" s="186" t="e">
        <v>#REF!</v>
      </c>
      <c r="BD257" s="48" t="e">
        <v>#REF!</v>
      </c>
      <c r="BE257" s="1" t="e">
        <f t="shared" si="30"/>
        <v>#REF!</v>
      </c>
      <c r="BF257" s="52" t="e">
        <v>#REF!</v>
      </c>
      <c r="BG257" s="52" t="e">
        <v>#REF!</v>
      </c>
    </row>
    <row r="258" spans="2:59" ht="5.25" customHeight="1" thickBot="1">
      <c r="B258" s="80"/>
      <c r="D258" s="37"/>
      <c r="E258" s="44"/>
      <c r="F258" s="45"/>
      <c r="G258" s="45"/>
      <c r="H258" s="45"/>
      <c r="I258" s="45"/>
      <c r="J258" s="45"/>
      <c r="K258" s="45"/>
      <c r="L258" s="45"/>
      <c r="M258" s="45"/>
      <c r="N258" s="45"/>
      <c r="O258" s="45"/>
      <c r="P258" s="45"/>
      <c r="Q258" s="45"/>
      <c r="R258" s="32"/>
      <c r="S258" s="45"/>
      <c r="T258" s="45"/>
      <c r="U258" s="45"/>
      <c r="V258" s="46"/>
      <c r="W258" s="37"/>
      <c r="Y258" s="943"/>
      <c r="AA258" s="85"/>
      <c r="AC258" s="76"/>
      <c r="AI258" s="48">
        <f>IF(AI242=2,$B$522,0)</f>
        <v>0</v>
      </c>
      <c r="AL258" s="1">
        <v>16</v>
      </c>
      <c r="AO258" s="1" t="str">
        <f t="shared" si="32"/>
        <v xml:space="preserve"> ()</v>
      </c>
      <c r="AP258" s="200">
        <v>0</v>
      </c>
      <c r="AQ258" s="196" t="str">
        <f t="shared" si="33"/>
        <v/>
      </c>
      <c r="BB258" s="52" t="e">
        <v>#REF!</v>
      </c>
      <c r="BC258" s="187" t="e">
        <v>#REF!</v>
      </c>
      <c r="BD258" s="48" t="e">
        <v>#REF!</v>
      </c>
      <c r="BE258" s="1" t="e">
        <f t="shared" si="30"/>
        <v>#REF!</v>
      </c>
    </row>
    <row r="259" spans="2:59" ht="8.25" customHeight="1" thickBot="1">
      <c r="B259" s="80"/>
      <c r="D259" s="898">
        <f>IF(AG270=2,1,0)</f>
        <v>0</v>
      </c>
      <c r="E259" s="44"/>
      <c r="F259" s="45"/>
      <c r="G259" s="45"/>
      <c r="H259" s="45"/>
      <c r="I259" s="45"/>
      <c r="J259" s="45"/>
      <c r="K259" s="45"/>
      <c r="L259" s="45"/>
      <c r="M259" s="45"/>
      <c r="N259" s="45"/>
      <c r="O259" s="45"/>
      <c r="P259" s="45"/>
      <c r="Q259" s="45"/>
      <c r="R259" s="32"/>
      <c r="S259" s="45"/>
      <c r="T259" s="45"/>
      <c r="U259" s="45"/>
      <c r="V259" s="46"/>
      <c r="W259" s="898">
        <f>IF(AG270=1,1,0)</f>
        <v>0</v>
      </c>
      <c r="Y259" s="53"/>
      <c r="AC259" s="76"/>
      <c r="AI259" s="52">
        <f>IF(AI242=2,$B$523,0)</f>
        <v>0</v>
      </c>
      <c r="AL259" s="1">
        <v>17</v>
      </c>
      <c r="AO259" s="1" t="str">
        <f t="shared" si="32"/>
        <v xml:space="preserve"> ()</v>
      </c>
      <c r="AP259" s="200">
        <v>0</v>
      </c>
      <c r="AQ259" s="196" t="str">
        <f t="shared" si="33"/>
        <v/>
      </c>
      <c r="BC259"/>
      <c r="BD259" s="48" t="e">
        <v>#REF!</v>
      </c>
      <c r="BE259" s="1" t="e">
        <f t="shared" si="30"/>
        <v>#REF!</v>
      </c>
    </row>
    <row r="260" spans="2:59" ht="18" customHeight="1">
      <c r="B260" s="80"/>
      <c r="D260" s="898" t="e">
        <f>IF(#REF!=$Y$41,1,0)</f>
        <v>#REF!</v>
      </c>
      <c r="E260" s="44"/>
      <c r="F260" s="45"/>
      <c r="G260" s="108"/>
      <c r="H260" s="45"/>
      <c r="I260" s="36"/>
      <c r="J260" s="36"/>
      <c r="K260" s="36"/>
      <c r="L260" s="899"/>
      <c r="M260" s="900"/>
      <c r="N260" s="901"/>
      <c r="O260" s="45"/>
      <c r="P260" s="45"/>
      <c r="Q260" s="45"/>
      <c r="R260" s="32"/>
      <c r="S260" s="986"/>
      <c r="T260" s="54"/>
      <c r="U260" s="45"/>
      <c r="V260" s="33"/>
      <c r="W260" s="898" t="e">
        <f>IF(#REF!=$Y$41,1,0)</f>
        <v>#REF!</v>
      </c>
      <c r="Y260" s="55"/>
      <c r="AA260" s="870" t="str">
        <f>IF(OR(Y244&gt;2500,L268&gt;2500),MAX_ROZ_RAM,"")</f>
        <v/>
      </c>
      <c r="AB260" s="870"/>
      <c r="AC260" s="871"/>
      <c r="AI260" s="47">
        <f>IF(AI242=1,$B$530,IF(AI242=2,$B$531,0))</f>
        <v>0</v>
      </c>
      <c r="AL260" s="1">
        <v>18</v>
      </c>
      <c r="AO260" s="1" t="str">
        <f t="shared" si="32"/>
        <v xml:space="preserve"> ()</v>
      </c>
      <c r="AP260" s="200">
        <v>0</v>
      </c>
      <c r="AQ260" s="196" t="str">
        <f t="shared" si="33"/>
        <v/>
      </c>
      <c r="BC260"/>
      <c r="BD260" s="48" t="e">
        <v>#REF!</v>
      </c>
      <c r="BE260" s="1" t="e">
        <f t="shared" si="30"/>
        <v>#REF!</v>
      </c>
    </row>
    <row r="261" spans="2:59" ht="6" customHeight="1">
      <c r="B261" s="80"/>
      <c r="D261" s="902" t="str">
        <f>IF(D259=1,AC247,"")</f>
        <v/>
      </c>
      <c r="E261" s="44"/>
      <c r="F261" s="45"/>
      <c r="G261" s="56"/>
      <c r="H261" s="45"/>
      <c r="I261" s="36"/>
      <c r="J261" s="36"/>
      <c r="K261" s="36"/>
      <c r="L261" s="36"/>
      <c r="M261" s="56"/>
      <c r="N261" s="56"/>
      <c r="O261" s="45"/>
      <c r="P261" s="45"/>
      <c r="Q261" s="45"/>
      <c r="R261" s="32"/>
      <c r="S261" s="987"/>
      <c r="T261" s="54"/>
      <c r="U261" s="45"/>
      <c r="V261" s="33"/>
      <c r="W261" s="902" t="str">
        <f>IF(W259=1,AC247,"")</f>
        <v/>
      </c>
      <c r="Y261" s="55"/>
      <c r="AA261" s="870"/>
      <c r="AB261" s="870"/>
      <c r="AC261" s="871"/>
      <c r="AG261" s="1">
        <f>IF(AC252=$J$369,1,IF(AC252=$J$370,1,IF(AC252=$J$371,2,0)))</f>
        <v>0</v>
      </c>
      <c r="AI261" s="48">
        <f>IF(AI242=2,$B$532,0)</f>
        <v>0</v>
      </c>
      <c r="AL261" s="1">
        <v>19</v>
      </c>
      <c r="AO261" s="1" t="str">
        <f t="shared" si="32"/>
        <v xml:space="preserve"> ()</v>
      </c>
      <c r="AP261" s="200">
        <v>0</v>
      </c>
      <c r="AQ261" s="196" t="str">
        <f t="shared" si="33"/>
        <v/>
      </c>
      <c r="BC261"/>
      <c r="BD261" s="48" t="e">
        <v>#REF!</v>
      </c>
      <c r="BE261" s="1" t="e">
        <f t="shared" si="30"/>
        <v>#REF!</v>
      </c>
    </row>
    <row r="262" spans="2:59" ht="22.5" customHeight="1">
      <c r="B262" s="80"/>
      <c r="D262" s="902"/>
      <c r="E262" s="44"/>
      <c r="F262" s="45"/>
      <c r="G262" s="45"/>
      <c r="H262" s="45"/>
      <c r="I262" s="32" t="s">
        <v>15</v>
      </c>
      <c r="J262" s="36"/>
      <c r="K262" s="36"/>
      <c r="L262" s="36"/>
      <c r="M262" s="36"/>
      <c r="N262" s="36"/>
      <c r="O262" s="45"/>
      <c r="P262" s="32" t="s">
        <v>15</v>
      </c>
      <c r="Q262" s="36"/>
      <c r="R262" s="32"/>
      <c r="S262" s="988"/>
      <c r="T262" s="54"/>
      <c r="U262" s="32"/>
      <c r="V262" s="46"/>
      <c r="W262" s="902"/>
      <c r="Y262" s="55"/>
      <c r="AA262" s="870"/>
      <c r="AB262" s="870"/>
      <c r="AC262" s="871"/>
      <c r="AG262" s="1">
        <f>IF(AC251=0,0,VPRAVO)</f>
        <v>0</v>
      </c>
      <c r="AI262" s="48">
        <f>IF(AI242=2,$B$533,0)</f>
        <v>0</v>
      </c>
      <c r="AL262" s="1">
        <v>20</v>
      </c>
      <c r="AO262" s="1" t="str">
        <f t="shared" si="32"/>
        <v xml:space="preserve"> ()</v>
      </c>
      <c r="AP262" s="200">
        <v>0</v>
      </c>
      <c r="AQ262" s="196" t="str">
        <f t="shared" si="33"/>
        <v/>
      </c>
      <c r="BC262"/>
      <c r="BD262" s="48" t="e">
        <v>#REF!</v>
      </c>
      <c r="BE262" s="1" t="e">
        <f t="shared" si="30"/>
        <v>#REF!</v>
      </c>
    </row>
    <row r="263" spans="2:59" ht="27" thickBot="1">
      <c r="B263" s="80"/>
      <c r="D263" s="902"/>
      <c r="E263" s="44"/>
      <c r="F263" s="45"/>
      <c r="G263" s="45"/>
      <c r="H263" s="45"/>
      <c r="I263" s="36"/>
      <c r="J263" s="903"/>
      <c r="K263" s="36"/>
      <c r="L263" s="36"/>
      <c r="M263" s="36"/>
      <c r="N263" s="36"/>
      <c r="O263" s="45"/>
      <c r="P263" s="36"/>
      <c r="Q263" s="36"/>
      <c r="R263" s="45"/>
      <c r="S263" s="57"/>
      <c r="T263" s="57"/>
      <c r="U263" s="49"/>
      <c r="V263" s="46"/>
      <c r="W263" s="902"/>
      <c r="AA263" s="870" t="str">
        <f>IF(AC247=0,"",IF(AND(OR(AC239="Palio (elox.)",AC239="Siena (elox.)"),AC247&lt;80),MIN_POZ_ZAVES_80,IF(AC247&lt;70,MIN_POZ_ZAVES,"")))</f>
        <v/>
      </c>
      <c r="AB263" s="870"/>
      <c r="AC263" s="871"/>
      <c r="AG263" s="1">
        <f>IF(AC251=0,0,VLEVO)</f>
        <v>0</v>
      </c>
      <c r="AI263" s="52">
        <f>IF(AI242=2,$B$534,0)</f>
        <v>0</v>
      </c>
      <c r="AL263" s="1">
        <v>21</v>
      </c>
      <c r="AO263" s="1" t="str">
        <f t="shared" si="32"/>
        <v xml:space="preserve"> ()</v>
      </c>
      <c r="AP263" s="200">
        <v>0</v>
      </c>
      <c r="AQ263" s="196" t="str">
        <f t="shared" si="33"/>
        <v/>
      </c>
      <c r="BC263"/>
      <c r="BD263" s="48" t="e">
        <v>#REF!</v>
      </c>
      <c r="BE263" s="1" t="e">
        <f t="shared" si="30"/>
        <v>#REF!</v>
      </c>
    </row>
    <row r="264" spans="2:59" ht="26.25">
      <c r="B264" s="80"/>
      <c r="D264" s="902"/>
      <c r="E264" s="44"/>
      <c r="F264" s="45"/>
      <c r="G264" s="45"/>
      <c r="H264" s="45"/>
      <c r="I264" s="36"/>
      <c r="J264" s="904"/>
      <c r="K264" s="36"/>
      <c r="L264" s="36"/>
      <c r="M264" s="36"/>
      <c r="N264" s="36"/>
      <c r="O264" s="45"/>
      <c r="P264" s="36"/>
      <c r="Q264" s="36"/>
      <c r="R264" s="45"/>
      <c r="S264" s="58"/>
      <c r="T264" s="58"/>
      <c r="U264" s="49"/>
      <c r="V264" s="46"/>
      <c r="W264" s="902"/>
      <c r="AC264" s="76"/>
      <c r="AG264" s="1">
        <f>IF(AC251=0,0,OBE_STRANY)</f>
        <v>0</v>
      </c>
      <c r="AJ264" s="1">
        <f>IF(AC251=0,0,VLOOKUP(AC251,AI265:AJ278,2,0))</f>
        <v>0</v>
      </c>
      <c r="AL264" s="1">
        <v>22</v>
      </c>
      <c r="AO264" s="1" t="str">
        <f t="shared" si="32"/>
        <v xml:space="preserve"> ()</v>
      </c>
      <c r="AP264" s="200">
        <v>0</v>
      </c>
      <c r="AQ264" s="196" t="str">
        <f t="shared" si="33"/>
        <v/>
      </c>
      <c r="BD264" s="48" t="e">
        <v>#REF!</v>
      </c>
      <c r="BE264" s="1" t="e">
        <f t="shared" si="30"/>
        <v>#REF!</v>
      </c>
    </row>
    <row r="265" spans="2:59" ht="15.75" customHeight="1" thickBot="1">
      <c r="B265" s="80"/>
      <c r="D265" s="902"/>
      <c r="E265" s="59"/>
      <c r="F265" s="60"/>
      <c r="G265" s="60"/>
      <c r="H265" s="60"/>
      <c r="I265" s="35"/>
      <c r="J265" s="35"/>
      <c r="K265" s="35"/>
      <c r="L265" s="35"/>
      <c r="M265" s="35"/>
      <c r="N265" s="35"/>
      <c r="O265" s="60"/>
      <c r="P265" s="35"/>
      <c r="Q265" s="35"/>
      <c r="R265" s="60"/>
      <c r="S265" s="60"/>
      <c r="T265" s="60"/>
      <c r="U265" s="60"/>
      <c r="V265" s="61"/>
      <c r="W265" s="902"/>
      <c r="AC265" s="76"/>
      <c r="AH265" s="1">
        <f>IF(AA251=Ceny_n!$B$184,IF(AI242=1,Ceny!$F$919,IF(AI242=2,Ceny!$G$919,0)),0)</f>
        <v>0</v>
      </c>
      <c r="AI265" s="1">
        <f>IF(AG270=3,AH265,AH284)</f>
        <v>0</v>
      </c>
      <c r="AJ265" s="1">
        <f>IF(AC242=ZAVESY,Ceny!$E$948,0)</f>
        <v>0</v>
      </c>
      <c r="AL265" s="1">
        <v>22</v>
      </c>
      <c r="AO265" s="1" t="str">
        <f t="shared" si="32"/>
        <v xml:space="preserve"> ()</v>
      </c>
      <c r="AP265" s="200">
        <v>0</v>
      </c>
      <c r="AQ265" s="196" t="str">
        <f t="shared" si="33"/>
        <v/>
      </c>
      <c r="AS265" s="1" t="e">
        <f>VLOOKUP(AL265,Ceny!$B$963:$E$970,4,0)</f>
        <v>#N/A</v>
      </c>
      <c r="AY265" s="1" t="e">
        <f t="shared" ref="AY265:AY279" si="35">AJ265+AS265+AT265+AU265+AW265</f>
        <v>#N/A</v>
      </c>
      <c r="BD265" s="48" t="e">
        <v>#REF!</v>
      </c>
      <c r="BE265" s="1" t="e">
        <f t="shared" si="30"/>
        <v>#REF!</v>
      </c>
    </row>
    <row r="266" spans="2:59" ht="19.5" thickBot="1">
      <c r="B266" s="80"/>
      <c r="D266" s="905" t="str">
        <f>IF(H266=1,AC247,"")</f>
        <v/>
      </c>
      <c r="E266" s="906"/>
      <c r="F266" s="906"/>
      <c r="G266" s="906"/>
      <c r="H266" s="39">
        <f>IF(AG270=4,1,0)</f>
        <v>0</v>
      </c>
      <c r="I266" s="39"/>
      <c r="J266" s="39"/>
      <c r="K266" s="39" t="b">
        <f>IF(AG270=4,IF(AC246=4,1,0))</f>
        <v>0</v>
      </c>
      <c r="L266" s="39"/>
      <c r="M266" s="39" t="b">
        <f>IF(AG270=4,IF(AC246=3,1,0))</f>
        <v>0</v>
      </c>
      <c r="N266" s="39"/>
      <c r="O266" s="39" t="b">
        <f>IF(AG270=4,IF(AC246=4,1,0))</f>
        <v>0</v>
      </c>
      <c r="P266" s="39"/>
      <c r="Q266" s="39"/>
      <c r="R266" s="39">
        <f>IF(AG270=4,1,0)</f>
        <v>0</v>
      </c>
      <c r="S266" s="929" t="str">
        <f>IF(R266=1,AC247,"")</f>
        <v/>
      </c>
      <c r="T266" s="929"/>
      <c r="U266" s="929"/>
      <c r="V266" s="929"/>
      <c r="W266" s="930"/>
      <c r="Y266" s="40"/>
      <c r="Z266" s="157" t="str">
        <f>IF(OR(AC239=Ceny_n!$B$18,AC239=Ceny_n!$B$19,AC239=Ceny_n!$B$20),Ceny!$B$498,"")</f>
        <v/>
      </c>
      <c r="AC266" s="76"/>
      <c r="AG266" s="1">
        <f>IF(AC242=ZAVESY,VPRAVO,0)</f>
        <v>0</v>
      </c>
      <c r="AH266" s="1">
        <f>IF(AA251=Ceny_n!$B$184,IF(AI242=1,Ceny!$F$920,IF(AI242=2,Ceny!$G$920,0)),0)</f>
        <v>0</v>
      </c>
      <c r="AI266" s="1">
        <f>IF(AG270=3,AH266,AH285)</f>
        <v>0</v>
      </c>
      <c r="AJ266" s="1">
        <f>IF(AC242=ZAVESY,Ceny!$E$949,0)</f>
        <v>0</v>
      </c>
      <c r="AL266" s="1">
        <v>22</v>
      </c>
      <c r="AO266" s="1" t="str">
        <f t="shared" si="32"/>
        <v xml:space="preserve"> ()</v>
      </c>
      <c r="AP266" s="200">
        <v>0</v>
      </c>
      <c r="AQ266" s="196" t="str">
        <f t="shared" si="33"/>
        <v/>
      </c>
      <c r="AS266" s="1" t="e">
        <f>VLOOKUP(AL266,Ceny!$B$963:$E$970,4,0)</f>
        <v>#N/A</v>
      </c>
      <c r="AY266" s="1" t="e">
        <f t="shared" si="35"/>
        <v>#N/A</v>
      </c>
      <c r="BD266" s="48" t="e">
        <v>#REF!</v>
      </c>
      <c r="BE266" s="1" t="e">
        <f t="shared" si="30"/>
        <v>#REF!</v>
      </c>
    </row>
    <row r="267" spans="2:59" ht="6" customHeight="1">
      <c r="B267" s="80"/>
      <c r="AC267" s="76"/>
      <c r="AG267" s="1">
        <f>IF(AC242=ZAVESY,VLEVO,0)</f>
        <v>0</v>
      </c>
      <c r="AH267" s="1">
        <f>IF(AA251=Ceny_n!$B$184,IF(AI242=1,Ceny!$F$921,IF(AI242=2,Ceny!$G$921,0)),0)</f>
        <v>0</v>
      </c>
      <c r="AI267" s="1">
        <f>IF(AG270=3,AH267,AH286)</f>
        <v>0</v>
      </c>
      <c r="AJ267" s="1">
        <f>IF(AC242=ZAVESY,Ceny!$E$950,0)</f>
        <v>0</v>
      </c>
      <c r="AL267" s="1">
        <v>22</v>
      </c>
      <c r="AO267" s="1" t="str">
        <f t="shared" si="32"/>
        <v xml:space="preserve"> ()</v>
      </c>
      <c r="AP267" s="200">
        <v>0</v>
      </c>
      <c r="AQ267" s="196" t="str">
        <f t="shared" si="33"/>
        <v/>
      </c>
      <c r="AS267" s="1" t="e">
        <f>VLOOKUP(AL267,Ceny!$B$963:$E$970,4,0)</f>
        <v>#N/A</v>
      </c>
      <c r="AY267" s="1" t="e">
        <f t="shared" si="35"/>
        <v>#N/A</v>
      </c>
      <c r="BD267" s="48" t="e">
        <v>#REF!</v>
      </c>
      <c r="BE267" s="1" t="e">
        <f t="shared" si="30"/>
        <v>#REF!</v>
      </c>
    </row>
    <row r="268" spans="2:59" ht="20.25" customHeight="1" thickBot="1">
      <c r="B268" s="80"/>
      <c r="D268" s="40"/>
      <c r="E268" s="40"/>
      <c r="F268" s="40"/>
      <c r="G268" s="40"/>
      <c r="I268" s="884" t="str">
        <f>Ceny_n!$B$135</f>
        <v xml:space="preserve">Šířka </v>
      </c>
      <c r="J268" s="885"/>
      <c r="K268" s="885"/>
      <c r="L268" s="886"/>
      <c r="M268" s="886"/>
      <c r="N268" s="886"/>
      <c r="O268" s="886"/>
      <c r="P268" s="886"/>
      <c r="Q268" s="887"/>
      <c r="R268" s="40"/>
      <c r="S268" s="40"/>
      <c r="T268" s="40"/>
      <c r="U268" s="40"/>
      <c r="V268" s="40"/>
      <c r="W268" s="40"/>
      <c r="Z268" s="157" t="str">
        <f>IF(L268&gt;1500,Ceny!$B$290,IF(Y244&gt;1500,Ceny!$B$290,""))</f>
        <v/>
      </c>
      <c r="AC268" s="76"/>
      <c r="AG268" s="1">
        <f>IF(AC242=ZAVESY,NAHORE,0)</f>
        <v>0</v>
      </c>
      <c r="AH268" s="1">
        <f>IF(AA251=Ceny_n!$B$184,IF(AI242=1,Ceny!$F$922,IF(AI242=2,Ceny!$G$922,0)),0)</f>
        <v>0</v>
      </c>
      <c r="AI268" s="1">
        <f>IF(AG270=3,AH268,AH287)</f>
        <v>0</v>
      </c>
      <c r="AJ268" s="1">
        <f>IF(AC242=ZAVESY,Ceny!$E$951,0)</f>
        <v>0</v>
      </c>
      <c r="AL268" s="1">
        <v>22</v>
      </c>
      <c r="AO268" s="1" t="str">
        <f t="shared" si="32"/>
        <v xml:space="preserve"> ()</v>
      </c>
      <c r="AP268" s="201">
        <v>0</v>
      </c>
      <c r="AQ268" s="198" t="str">
        <f t="shared" si="33"/>
        <v/>
      </c>
      <c r="AS268" s="1" t="e">
        <f>VLOOKUP(AL268,Ceny!$B$963:$E$970,4,0)</f>
        <v>#N/A</v>
      </c>
      <c r="AY268" s="1" t="e">
        <f t="shared" si="35"/>
        <v>#N/A</v>
      </c>
      <c r="BD268" s="48" t="e">
        <v>#REF!</v>
      </c>
      <c r="BE268" s="1" t="e">
        <f t="shared" si="30"/>
        <v>#REF!</v>
      </c>
    </row>
    <row r="269" spans="2:59" ht="17.25" customHeight="1">
      <c r="B269" s="80"/>
      <c r="D269" s="40"/>
      <c r="E269" s="40"/>
      <c r="F269" s="40"/>
      <c r="G269" s="40"/>
      <c r="H269" s="62"/>
      <c r="I269" s="62"/>
      <c r="J269" s="62"/>
      <c r="K269" s="63"/>
      <c r="L269" s="63"/>
      <c r="M269" s="64"/>
      <c r="N269" s="64"/>
      <c r="O269" s="64"/>
      <c r="P269" s="64"/>
      <c r="Q269" s="64"/>
      <c r="R269" s="40"/>
      <c r="S269" s="40"/>
      <c r="T269" s="40"/>
      <c r="U269" s="40"/>
      <c r="V269" s="40"/>
      <c r="W269" s="40"/>
      <c r="Z269" s="888" t="str">
        <f>Ceny_n!$B$138</f>
        <v>Cena rámečků celkem</v>
      </c>
      <c r="AA269" s="889"/>
      <c r="AB269" s="889"/>
      <c r="AC269" s="919">
        <f>IF(AC239=$B$347,0,(AI239+AM239+AN239+AS239)-((AI239+AM239+AN239+AS239)*$AC$14))</f>
        <v>0</v>
      </c>
      <c r="AD269" s="223"/>
      <c r="AE269" s="174"/>
      <c r="AG269" s="1">
        <f>IF(AC242=ZAVESY,DOLE,0)</f>
        <v>0</v>
      </c>
      <c r="AH269" s="1">
        <f>IF(AA251=Ceny_n!$B$184,IF(AI242=1,Ceny!$F$923,IF(AI242=2,Ceny!$G$923,0)),0)</f>
        <v>0</v>
      </c>
      <c r="AI269" s="1">
        <f>IF(AG270=3,AH269,AH288)</f>
        <v>0</v>
      </c>
      <c r="AJ269" s="1">
        <f>IF(AC242=ZAVESY,Ceny!$E$952,0)</f>
        <v>0</v>
      </c>
      <c r="AL269" s="1">
        <f>IF(AI242=1,Ceny!$B$964,0)</f>
        <v>0</v>
      </c>
      <c r="AM269" s="1">
        <v>0</v>
      </c>
      <c r="AN269" s="1">
        <v>0</v>
      </c>
      <c r="AP269" s="1">
        <v>0</v>
      </c>
      <c r="AS269" s="1">
        <f>VLOOKUP(AL269,Ceny!$B$963:$E$970,4,0)</f>
        <v>0</v>
      </c>
      <c r="AY269" s="1">
        <f t="shared" si="35"/>
        <v>0</v>
      </c>
      <c r="BD269" s="48" t="e">
        <v>#REF!</v>
      </c>
      <c r="BE269" s="1" t="e">
        <f t="shared" si="30"/>
        <v>#REF!</v>
      </c>
    </row>
    <row r="270" spans="2:59" ht="17.25" customHeight="1">
      <c r="B270" s="80"/>
      <c r="D270" s="40"/>
      <c r="E270" s="40"/>
      <c r="F270" s="40"/>
      <c r="G270" s="40"/>
      <c r="H270" s="62"/>
      <c r="I270" s="62"/>
      <c r="J270" s="62"/>
      <c r="K270" s="63"/>
      <c r="L270" s="63"/>
      <c r="M270" s="64"/>
      <c r="N270" s="64"/>
      <c r="O270" s="64"/>
      <c r="P270" s="64"/>
      <c r="Q270" s="64"/>
      <c r="R270" s="40"/>
      <c r="S270" s="40"/>
      <c r="T270" s="40"/>
      <c r="U270" s="40"/>
      <c r="V270" s="40"/>
      <c r="W270" s="40"/>
      <c r="Z270" s="890"/>
      <c r="AA270" s="891"/>
      <c r="AB270" s="891"/>
      <c r="AC270" s="920"/>
      <c r="AD270" s="223"/>
      <c r="AE270" s="174"/>
      <c r="AG270" s="1">
        <f>IF(AC250=VPRAVO,1,IF('Běžné rámečky'!AC250=VLEVO,2,IF('Běžné rámečky'!AC250=NAHORE,3,IF('Běžné rámečky'!AC250=DOLE,4,0))))</f>
        <v>0</v>
      </c>
      <c r="AH270" s="1">
        <f>IF(AA251=Ceny_n!$B$184,IF(AI242=1,Ceny!$F$924,IF(AI242=2,Ceny!$G$924,0)),0)</f>
        <v>0</v>
      </c>
      <c r="AI270" s="1" t="str">
        <f>IF(AG270=3,AH270,AH289)</f>
        <v xml:space="preserve"> </v>
      </c>
      <c r="AJ270" s="1">
        <f>IF(AC242=ZAVESY,Ceny!$E$953,0)</f>
        <v>0</v>
      </c>
      <c r="AL270">
        <f>Ceny_n!$B$965</f>
        <v>15585</v>
      </c>
      <c r="AM270" s="1">
        <v>0</v>
      </c>
      <c r="AN270" s="1">
        <v>0</v>
      </c>
      <c r="AP270" s="1">
        <v>0</v>
      </c>
      <c r="AS270" s="1">
        <f>VLOOKUP(AL270,Ceny!$B$963:$E$970,4,0)</f>
        <v>3.1249699999999998</v>
      </c>
      <c r="AY270" s="1">
        <f t="shared" si="35"/>
        <v>3.1249699999999998</v>
      </c>
      <c r="BD270" s="48" t="e">
        <v>#REF!</v>
      </c>
      <c r="BE270" s="1" t="e">
        <f t="shared" si="30"/>
        <v>#REF!</v>
      </c>
    </row>
    <row r="271" spans="2:59" ht="13.5" customHeight="1">
      <c r="B271" s="80"/>
      <c r="D271" s="40"/>
      <c r="E271" s="40"/>
      <c r="F271" s="40"/>
      <c r="G271" s="40"/>
      <c r="H271" s="62"/>
      <c r="I271" s="62"/>
      <c r="J271" s="62"/>
      <c r="K271" s="63"/>
      <c r="L271" s="63"/>
      <c r="M271" s="64"/>
      <c r="N271" s="64"/>
      <c r="O271" s="64"/>
      <c r="P271" s="64"/>
      <c r="Q271" s="64"/>
      <c r="R271" s="40"/>
      <c r="S271" s="40"/>
      <c r="T271" s="40"/>
      <c r="U271" s="40"/>
      <c r="V271" s="40"/>
      <c r="W271" s="40"/>
      <c r="Z271" s="874" t="str">
        <f>Ceny_n!$B$140</f>
        <v>Cena za kompletní objednávku</v>
      </c>
      <c r="AA271" s="875"/>
      <c r="AB271" s="875"/>
      <c r="AC271" s="878">
        <f>SUM($AC$53,$AC$107,$AC$161,$AC$215,$AC$269,$AC$323)</f>
        <v>0</v>
      </c>
      <c r="AD271" s="223"/>
      <c r="AE271" s="174"/>
      <c r="AH271" s="1">
        <f>IF(AA251=Ceny_n!$B$184,IF(AI242=1,Ceny!$F$925,IF(AI242=2,Ceny!$G$925,0)),0)</f>
        <v>0</v>
      </c>
      <c r="AI271" s="1" t="str">
        <f>IF(AG270=3,AH271,AH289)</f>
        <v xml:space="preserve"> </v>
      </c>
      <c r="AJ271" s="1">
        <f>IF(AC242=ZAVESY,Ceny!$E$954,0)</f>
        <v>0</v>
      </c>
      <c r="AL271">
        <f>Ceny_n!$B$965</f>
        <v>15585</v>
      </c>
      <c r="AM271" s="1">
        <v>0</v>
      </c>
      <c r="AN271" s="1">
        <v>0</v>
      </c>
      <c r="AP271" s="1">
        <v>0</v>
      </c>
      <c r="AS271" s="1">
        <f>VLOOKUP(AL271,Ceny!$B$963:$E$970,4,0)</f>
        <v>3.1249699999999998</v>
      </c>
      <c r="AY271" s="1">
        <f t="shared" si="35"/>
        <v>3.1249699999999998</v>
      </c>
      <c r="BD271" s="48" t="e">
        <v>#REF!</v>
      </c>
      <c r="BE271" s="1" t="e">
        <f t="shared" si="30"/>
        <v>#REF!</v>
      </c>
    </row>
    <row r="272" spans="2:59" ht="17.25" customHeight="1">
      <c r="B272" s="80"/>
      <c r="D272" s="40"/>
      <c r="E272" s="40"/>
      <c r="F272" s="40"/>
      <c r="G272" s="40"/>
      <c r="H272" s="62"/>
      <c r="I272" s="62"/>
      <c r="J272" s="62"/>
      <c r="K272" s="63"/>
      <c r="L272" s="63"/>
      <c r="M272" s="64"/>
      <c r="N272" s="64"/>
      <c r="O272" s="64"/>
      <c r="P272" s="64"/>
      <c r="Q272" s="64"/>
      <c r="R272" s="40"/>
      <c r="S272" s="40"/>
      <c r="T272" s="40"/>
      <c r="U272" s="40"/>
      <c r="V272" s="40"/>
      <c r="W272" s="40"/>
      <c r="Z272" s="876"/>
      <c r="AA272" s="877"/>
      <c r="AB272" s="877"/>
      <c r="AC272" s="879"/>
      <c r="AD272" s="224"/>
      <c r="AE272" s="175"/>
      <c r="AH272" s="1">
        <f>IF(AA251=Ceny_n!$B$184,IF(AI242=1,Ceny!$F$926,IF(AI242=2,Ceny!$G$926,0)),0)</f>
        <v>0</v>
      </c>
      <c r="AI272" s="1" t="str">
        <f>IF(AG270=3,AH272,AH289)</f>
        <v xml:space="preserve"> </v>
      </c>
      <c r="AJ272" s="1">
        <f>IF(AC242=ZAVESY,Ceny!$E$955,0)</f>
        <v>0</v>
      </c>
      <c r="AL272">
        <f>Ceny_n!$B$965</f>
        <v>15585</v>
      </c>
      <c r="AM272" s="1">
        <v>0</v>
      </c>
      <c r="AN272" s="1">
        <v>0</v>
      </c>
      <c r="AP272" s="1">
        <v>0</v>
      </c>
      <c r="AS272" s="1">
        <f>VLOOKUP(AL272,Ceny!$B$963:$E$970,4,0)</f>
        <v>3.1249699999999998</v>
      </c>
      <c r="AY272" s="1">
        <f t="shared" si="35"/>
        <v>3.1249699999999998</v>
      </c>
      <c r="BD272" s="48" t="e">
        <v>#REF!</v>
      </c>
      <c r="BE272" s="1" t="e">
        <f t="shared" si="30"/>
        <v>#REF!</v>
      </c>
    </row>
    <row r="273" spans="2:57" ht="7.5" customHeight="1">
      <c r="B273" s="80"/>
      <c r="D273" s="40"/>
      <c r="E273" s="40"/>
      <c r="F273" s="40"/>
      <c r="G273" s="40"/>
      <c r="H273" s="62"/>
      <c r="I273" s="62"/>
      <c r="J273" s="62"/>
      <c r="K273" s="63"/>
      <c r="L273" s="63"/>
      <c r="M273" s="64"/>
      <c r="N273" s="64"/>
      <c r="O273" s="64"/>
      <c r="P273" s="64"/>
      <c r="Q273" s="64"/>
      <c r="R273" s="40"/>
      <c r="S273" s="40"/>
      <c r="T273" s="40"/>
      <c r="U273" s="40"/>
      <c r="V273" s="40"/>
      <c r="W273" s="40"/>
      <c r="Z273" s="880" t="str">
        <f>Ceny_n!$B$131</f>
        <v>Uvedené ceny jsou bez DPH a nezahrnují cenu požadovaného kování!</v>
      </c>
      <c r="AA273" s="880"/>
      <c r="AB273" s="880"/>
      <c r="AC273" s="881"/>
      <c r="AH273" s="1">
        <f>IF(AA251=Ceny_n!$B$184,IF(AI242=1,Ceny!$F$927,IF(AI242=2,Ceny!$G$927,0)),0)</f>
        <v>0</v>
      </c>
      <c r="AI273" s="1" t="str">
        <f>IF(AG270=3,AH273,AH289)</f>
        <v xml:space="preserve"> </v>
      </c>
      <c r="AJ273" s="1">
        <f>IF(AC242=ZAVESY,Ceny!$E$956,0)</f>
        <v>0</v>
      </c>
      <c r="AL273">
        <f>Ceny_n!$B$965</f>
        <v>15585</v>
      </c>
      <c r="AM273" s="1">
        <v>0</v>
      </c>
      <c r="AN273" s="1">
        <v>0</v>
      </c>
      <c r="AP273" s="1">
        <v>0</v>
      </c>
      <c r="AS273" s="1">
        <f>VLOOKUP(AL273,Ceny!$B$963:$E$970,4,0)</f>
        <v>3.1249699999999998</v>
      </c>
      <c r="AY273" s="1">
        <f t="shared" si="35"/>
        <v>3.1249699999999998</v>
      </c>
      <c r="BD273" s="48" t="e">
        <v>#REF!</v>
      </c>
      <c r="BE273" s="1" t="e">
        <f t="shared" si="30"/>
        <v>#REF!</v>
      </c>
    </row>
    <row r="274" spans="2:57" ht="7.5" customHeight="1">
      <c r="B274" s="81"/>
      <c r="C274" s="82"/>
      <c r="D274" s="82"/>
      <c r="E274" s="82"/>
      <c r="F274" s="82"/>
      <c r="G274" s="82"/>
      <c r="H274" s="82"/>
      <c r="I274" s="83"/>
      <c r="J274" s="83"/>
      <c r="K274" s="83"/>
      <c r="L274" s="83"/>
      <c r="M274" s="83"/>
      <c r="N274" s="83"/>
      <c r="O274" s="82"/>
      <c r="P274" s="82"/>
      <c r="Q274" s="82"/>
      <c r="R274" s="82"/>
      <c r="S274" s="82"/>
      <c r="T274" s="82"/>
      <c r="U274" s="82"/>
      <c r="V274" s="82"/>
      <c r="W274" s="82"/>
      <c r="X274" s="82"/>
      <c r="Y274" s="82"/>
      <c r="Z274" s="882"/>
      <c r="AA274" s="882"/>
      <c r="AB274" s="882"/>
      <c r="AC274" s="883"/>
      <c r="AH274" s="1">
        <f>IF(AA251=Ceny_n!$B$184,IF(AI242=1,Ceny!$F$928,IF(AI242=2,Ceny!$G$928,0)),0)</f>
        <v>0</v>
      </c>
      <c r="AI274" s="1" t="str">
        <f>IF(AG270=3,AH274,AH289)</f>
        <v xml:space="preserve"> </v>
      </c>
      <c r="AJ274" s="1">
        <f>IF(AC242=ZAVESY,Ceny!$E$957,0)</f>
        <v>0</v>
      </c>
      <c r="AL274">
        <f>Ceny_n!$B$965</f>
        <v>15585</v>
      </c>
      <c r="AM274" s="1">
        <v>0</v>
      </c>
      <c r="AN274" s="1">
        <v>0</v>
      </c>
      <c r="AP274" s="1">
        <v>0</v>
      </c>
      <c r="AS274" s="1">
        <f>VLOOKUP(AL274,Ceny!$B$963:$E$970,4,0)</f>
        <v>3.1249699999999998</v>
      </c>
      <c r="AY274" s="1">
        <f t="shared" si="35"/>
        <v>3.1249699999999998</v>
      </c>
      <c r="BD274" s="48" t="e">
        <v>#REF!</v>
      </c>
      <c r="BE274" s="1" t="e">
        <f t="shared" si="30"/>
        <v>#REF!</v>
      </c>
    </row>
    <row r="275" spans="2:57" ht="7.35" customHeight="1">
      <c r="B275" s="892" t="str">
        <f>Ceny_n!$B$137</f>
        <v>Poznámky</v>
      </c>
      <c r="C275" s="893"/>
      <c r="D275" s="893"/>
      <c r="E275" s="893"/>
      <c r="F275" s="893"/>
      <c r="G275" s="911"/>
      <c r="H275" s="911"/>
      <c r="I275" s="911"/>
      <c r="J275" s="911"/>
      <c r="K275" s="911"/>
      <c r="L275" s="911"/>
      <c r="M275" s="911"/>
      <c r="N275" s="911"/>
      <c r="O275" s="911"/>
      <c r="P275" s="911"/>
      <c r="Q275" s="911"/>
      <c r="R275" s="911"/>
      <c r="S275" s="911"/>
      <c r="T275" s="911"/>
      <c r="U275" s="911"/>
      <c r="V275" s="911"/>
      <c r="W275" s="911"/>
      <c r="X275" s="911"/>
      <c r="Y275" s="911"/>
      <c r="Z275" s="911"/>
      <c r="AA275" s="911"/>
      <c r="AB275" s="911"/>
      <c r="AC275" s="912"/>
      <c r="AD275" s="225"/>
      <c r="AE275" s="176"/>
      <c r="AH275" s="1">
        <f>IF(AA251=Ceny_n!$B$184,IF(AI242=1,Ceny!$F$929,IF(AI242=2,Ceny!$G$929,0)),0)</f>
        <v>0</v>
      </c>
      <c r="AI275" s="1" t="str">
        <f>IF(AG270=3,AH275,AH289)</f>
        <v xml:space="preserve"> </v>
      </c>
      <c r="AJ275" s="1">
        <f>IF(AC242=ZAVESY,Ceny!$E$958,0)</f>
        <v>0</v>
      </c>
      <c r="AL275" s="1">
        <f>Ceny_n!$B$968</f>
        <v>15596</v>
      </c>
      <c r="AM275" s="1">
        <f>Ceny_n!$B$967</f>
        <v>15595</v>
      </c>
      <c r="AN275" s="65">
        <f>IF(AI242=1,Ceny!$B$967,0)</f>
        <v>0</v>
      </c>
      <c r="AO275" s="65"/>
      <c r="AP275" s="65">
        <f>IF(AI242=1,Ceny!$B$968,0)</f>
        <v>0</v>
      </c>
      <c r="AQ275" s="65"/>
      <c r="AR275" s="65">
        <f>IF(AI242=1,Ceny!$B$969,0)</f>
        <v>0</v>
      </c>
      <c r="AS275" s="1">
        <f>VLOOKUP(AL275,Ceny!$B$963:$E$970,4,0)</f>
        <v>11.9</v>
      </c>
      <c r="AT275" s="1">
        <f>VLOOKUP(AM275,Ceny!$B$963:$E$970,4,0)</f>
        <v>13.4</v>
      </c>
      <c r="AU275" s="1">
        <f>VLOOKUP(AN275,Ceny!$B$963:$E$970,4,0)</f>
        <v>0</v>
      </c>
      <c r="AW275" s="1">
        <f>2*(VLOOKUP(AP275,Ceny!$B$963:$E$970,4,0))</f>
        <v>0</v>
      </c>
      <c r="AX275" s="1">
        <f>2*(VLOOKUP(AR275,Ceny!$B$963:$E$970,4,0))</f>
        <v>0</v>
      </c>
      <c r="AY275" s="1">
        <f t="shared" si="35"/>
        <v>25.3</v>
      </c>
      <c r="BD275" s="48" t="e">
        <v>#REF!</v>
      </c>
      <c r="BE275" s="1" t="e">
        <f t="shared" si="30"/>
        <v>#REF!</v>
      </c>
    </row>
    <row r="276" spans="2:57" ht="7.35" customHeight="1">
      <c r="B276" s="894"/>
      <c r="C276" s="895"/>
      <c r="D276" s="895"/>
      <c r="E276" s="895"/>
      <c r="F276" s="895"/>
      <c r="G276" s="913"/>
      <c r="H276" s="913"/>
      <c r="I276" s="913"/>
      <c r="J276" s="913"/>
      <c r="K276" s="913"/>
      <c r="L276" s="913"/>
      <c r="M276" s="913"/>
      <c r="N276" s="913"/>
      <c r="O276" s="913"/>
      <c r="P276" s="913"/>
      <c r="Q276" s="913"/>
      <c r="R276" s="913"/>
      <c r="S276" s="913"/>
      <c r="T276" s="913"/>
      <c r="U276" s="913"/>
      <c r="V276" s="913"/>
      <c r="W276" s="913"/>
      <c r="X276" s="913"/>
      <c r="Y276" s="913"/>
      <c r="Z276" s="913"/>
      <c r="AA276" s="913"/>
      <c r="AB276" s="913"/>
      <c r="AC276" s="914"/>
      <c r="AD276" s="225"/>
      <c r="AE276" s="176"/>
      <c r="AH276" s="1">
        <f>IF(AA251=Ceny_n!$B$184,IF(AI242=1,Ceny!$F$930,IF(AI242=2,Ceny!$G$930,0)),0)</f>
        <v>0</v>
      </c>
      <c r="AI276" s="1" t="str">
        <f>IF(AG270=3,AH276,AH289)</f>
        <v xml:space="preserve"> </v>
      </c>
      <c r="AJ276" s="1">
        <f>IF(AC242=ZAVESY,Ceny!$E$959,0)</f>
        <v>0</v>
      </c>
      <c r="AL276" s="1">
        <f>Ceny_n!$B$968</f>
        <v>15596</v>
      </c>
      <c r="AM276" s="1">
        <f>Ceny_n!$B$967</f>
        <v>15595</v>
      </c>
      <c r="AN276" s="65">
        <f>IF(AI242=1,Ceny!$B$967,0)</f>
        <v>0</v>
      </c>
      <c r="AO276" s="65"/>
      <c r="AP276" s="65">
        <f>IF(AI242=1,Ceny!$B$968,0)</f>
        <v>0</v>
      </c>
      <c r="AQ276" s="65"/>
      <c r="AR276" s="65">
        <f>IF(AI242=1,Ceny!$B$969,0)</f>
        <v>0</v>
      </c>
      <c r="AS276" s="1">
        <f>VLOOKUP(AL276,Ceny!$B$963:$E$970,4,0)</f>
        <v>11.9</v>
      </c>
      <c r="AT276" s="1">
        <f>VLOOKUP(AM276,Ceny!$B$963:$E$970,4,0)</f>
        <v>13.4</v>
      </c>
      <c r="AU276" s="1">
        <f>VLOOKUP(AN276,Ceny!$B$963:$E$970,4,0)</f>
        <v>0</v>
      </c>
      <c r="AW276" s="1">
        <f>2*(VLOOKUP(AP276,Ceny!$B$963:$E$970,4,0))</f>
        <v>0</v>
      </c>
      <c r="AX276" s="1">
        <f>2*(VLOOKUP(AR276,Ceny!$B$963:$E$970,4,0))</f>
        <v>0</v>
      </c>
      <c r="AY276" s="1">
        <f t="shared" si="35"/>
        <v>25.3</v>
      </c>
      <c r="BD276" s="48" t="e">
        <v>#REF!</v>
      </c>
      <c r="BE276" s="1" t="e">
        <f t="shared" si="30"/>
        <v>#REF!</v>
      </c>
    </row>
    <row r="277" spans="2:57" ht="7.35" customHeight="1">
      <c r="B277" s="894"/>
      <c r="C277" s="895"/>
      <c r="D277" s="895"/>
      <c r="E277" s="895"/>
      <c r="F277" s="895"/>
      <c r="G277" s="913"/>
      <c r="H277" s="913"/>
      <c r="I277" s="913"/>
      <c r="J277" s="913"/>
      <c r="K277" s="913"/>
      <c r="L277" s="913"/>
      <c r="M277" s="913"/>
      <c r="N277" s="913"/>
      <c r="O277" s="913"/>
      <c r="P277" s="913"/>
      <c r="Q277" s="913"/>
      <c r="R277" s="913"/>
      <c r="S277" s="913"/>
      <c r="T277" s="913"/>
      <c r="U277" s="913"/>
      <c r="V277" s="913"/>
      <c r="W277" s="913"/>
      <c r="X277" s="913"/>
      <c r="Y277" s="913"/>
      <c r="Z277" s="913"/>
      <c r="AA277" s="913"/>
      <c r="AB277" s="913"/>
      <c r="AC277" s="914"/>
      <c r="AD277" s="225"/>
      <c r="AE277" s="176"/>
      <c r="AH277" s="1">
        <f>IF(AA251=Ceny_n!$B$184,IF(AI242=1,Ceny!$F$931,IF(AI242=2,Ceny!$G$931,0)),0)</f>
        <v>0</v>
      </c>
      <c r="AI277" s="1" t="str">
        <f>IF(AG270=3,AH277,AH289)</f>
        <v xml:space="preserve"> </v>
      </c>
      <c r="AJ277" s="1">
        <f>IF(AC242=ZAVESY,Ceny!$E$960,0)</f>
        <v>0</v>
      </c>
      <c r="AL277" s="1">
        <f>Ceny_n!$B$968</f>
        <v>15596</v>
      </c>
      <c r="AM277" s="1">
        <f>Ceny_n!$B$967</f>
        <v>15595</v>
      </c>
      <c r="AN277" s="65">
        <f>IF(AI242=1,Ceny!$B$967,0)</f>
        <v>0</v>
      </c>
      <c r="AO277" s="65"/>
      <c r="AP277" s="65">
        <f>IF(AI242=1,Ceny!$B$968,0)</f>
        <v>0</v>
      </c>
      <c r="AQ277" s="65"/>
      <c r="AR277" s="65">
        <f>IF(AI242=1,Ceny!$B$969,0)</f>
        <v>0</v>
      </c>
      <c r="AS277" s="1">
        <f>VLOOKUP(AL277,Ceny!$B$963:$E$970,4,0)</f>
        <v>11.9</v>
      </c>
      <c r="AT277" s="1">
        <f>VLOOKUP(AM277,Ceny!$B$963:$E$970,4,0)</f>
        <v>13.4</v>
      </c>
      <c r="AU277" s="1">
        <f>VLOOKUP(AN277,Ceny!$B$963:$E$970,4,0)</f>
        <v>0</v>
      </c>
      <c r="AW277" s="1">
        <f>2*(VLOOKUP(AP277,Ceny!$B$963:$E$970,4,0))</f>
        <v>0</v>
      </c>
      <c r="AX277" s="1">
        <f>2*(VLOOKUP(AR277,Ceny!$B$963:$E$970,4,0))</f>
        <v>0</v>
      </c>
      <c r="AY277" s="1">
        <f t="shared" si="35"/>
        <v>25.3</v>
      </c>
      <c r="BD277" s="48" t="e">
        <v>#REF!</v>
      </c>
      <c r="BE277" s="1" t="e">
        <f t="shared" si="30"/>
        <v>#REF!</v>
      </c>
    </row>
    <row r="278" spans="2:57" ht="7.35" customHeight="1">
      <c r="B278" s="894"/>
      <c r="C278" s="895"/>
      <c r="D278" s="895"/>
      <c r="E278" s="895"/>
      <c r="F278" s="895"/>
      <c r="G278" s="913"/>
      <c r="H278" s="913"/>
      <c r="I278" s="913"/>
      <c r="J278" s="913"/>
      <c r="K278" s="913"/>
      <c r="L278" s="913"/>
      <c r="M278" s="913"/>
      <c r="N278" s="913"/>
      <c r="O278" s="913"/>
      <c r="P278" s="913"/>
      <c r="Q278" s="913"/>
      <c r="R278" s="913"/>
      <c r="S278" s="913"/>
      <c r="T278" s="913"/>
      <c r="U278" s="913"/>
      <c r="V278" s="913"/>
      <c r="W278" s="913"/>
      <c r="X278" s="913"/>
      <c r="Y278" s="913"/>
      <c r="Z278" s="913"/>
      <c r="AA278" s="913"/>
      <c r="AB278" s="913"/>
      <c r="AC278" s="914"/>
      <c r="AD278" s="225"/>
      <c r="AE278" s="176"/>
      <c r="AH278" s="1">
        <f>IF(AA251=Ceny_n!$B$184,IF(AI242=1,Ceny!$F$932,IF(AI242=2,Ceny!$G$932,0)),0)</f>
        <v>0</v>
      </c>
      <c r="AI278" s="1" t="str">
        <f>IF(AG270=3,AH278,AH289)</f>
        <v xml:space="preserve"> </v>
      </c>
      <c r="AJ278" s="1">
        <f>IF(AC242=ZAVESY,Ceny!$E$961,0)</f>
        <v>0</v>
      </c>
      <c r="AL278" s="1">
        <f>Ceny_n!$B$968</f>
        <v>15596</v>
      </c>
      <c r="AM278" s="1">
        <f>Ceny_n!$B$967</f>
        <v>15595</v>
      </c>
      <c r="AN278" s="65">
        <f>IF(AI242=1,Ceny!$B$967,0)</f>
        <v>0</v>
      </c>
      <c r="AO278" s="65"/>
      <c r="AP278" s="65">
        <f>IF(AI242=1,Ceny!$B$968,0)</f>
        <v>0</v>
      </c>
      <c r="AQ278" s="65"/>
      <c r="AR278" s="65">
        <f>IF(AI242=1,Ceny!$B$969,0)</f>
        <v>0</v>
      </c>
      <c r="AS278" s="1">
        <f>VLOOKUP(AL278,Ceny!$B$963:$E$970,4,0)</f>
        <v>11.9</v>
      </c>
      <c r="AT278" s="1">
        <f>VLOOKUP(AM278,Ceny!$B$963:$E$970,4,0)</f>
        <v>13.4</v>
      </c>
      <c r="AU278" s="1">
        <f>VLOOKUP(AN278,Ceny!$B$963:$E$970,4,0)</f>
        <v>0</v>
      </c>
      <c r="AW278" s="1">
        <f>2*(VLOOKUP(AP278,Ceny!$B$963:$E$970,4,0))</f>
        <v>0</v>
      </c>
      <c r="AX278" s="1">
        <f>2*(VLOOKUP(AR278,Ceny!$B$963:$E$970,4,0))</f>
        <v>0</v>
      </c>
      <c r="AY278" s="1">
        <f t="shared" si="35"/>
        <v>25.3</v>
      </c>
      <c r="BD278" s="48" t="e">
        <v>#REF!</v>
      </c>
      <c r="BE278" s="1" t="e">
        <f t="shared" si="30"/>
        <v>#REF!</v>
      </c>
    </row>
    <row r="279" spans="2:57" ht="7.35" customHeight="1">
      <c r="B279" s="894"/>
      <c r="C279" s="895"/>
      <c r="D279" s="895"/>
      <c r="E279" s="895"/>
      <c r="F279" s="895"/>
      <c r="G279" s="913"/>
      <c r="H279" s="913"/>
      <c r="I279" s="913"/>
      <c r="J279" s="913"/>
      <c r="K279" s="913"/>
      <c r="L279" s="913"/>
      <c r="M279" s="913"/>
      <c r="N279" s="913"/>
      <c r="O279" s="913"/>
      <c r="P279" s="913"/>
      <c r="Q279" s="913"/>
      <c r="R279" s="913"/>
      <c r="S279" s="913"/>
      <c r="T279" s="913"/>
      <c r="U279" s="913"/>
      <c r="V279" s="913"/>
      <c r="W279" s="913"/>
      <c r="X279" s="913"/>
      <c r="Y279" s="913"/>
      <c r="Z279" s="913"/>
      <c r="AA279" s="913"/>
      <c r="AB279" s="913"/>
      <c r="AC279" s="914"/>
      <c r="AD279" s="225"/>
      <c r="AE279" s="176"/>
      <c r="AH279" s="1">
        <f>IF(AA251=Ceny_n!$B$184,IF(AI242=1,Ceny!$F$933,IF(AI242=2,Ceny!$G$933,0)),0)</f>
        <v>0</v>
      </c>
      <c r="AI279" s="1" t="str">
        <f>IF(AG270=3,AH279,AH289)</f>
        <v xml:space="preserve"> </v>
      </c>
      <c r="AJ279" s="1">
        <f>IF(AC242=ZAVESY,Ceny!$E$962,0)</f>
        <v>0</v>
      </c>
      <c r="AY279" s="1">
        <f t="shared" si="35"/>
        <v>0</v>
      </c>
      <c r="BD279" s="48" t="e">
        <v>#REF!</v>
      </c>
      <c r="BE279" s="1" t="e">
        <f t="shared" si="30"/>
        <v>#REF!</v>
      </c>
    </row>
    <row r="280" spans="2:57" ht="6" customHeight="1">
      <c r="B280" s="894"/>
      <c r="C280" s="895"/>
      <c r="D280" s="895"/>
      <c r="E280" s="895"/>
      <c r="F280" s="895"/>
      <c r="G280" s="913"/>
      <c r="H280" s="913"/>
      <c r="I280" s="913"/>
      <c r="J280" s="913"/>
      <c r="K280" s="913"/>
      <c r="L280" s="913"/>
      <c r="M280" s="913"/>
      <c r="N280" s="913"/>
      <c r="O280" s="913"/>
      <c r="P280" s="913"/>
      <c r="Q280" s="913"/>
      <c r="R280" s="913"/>
      <c r="S280" s="913"/>
      <c r="T280" s="913"/>
      <c r="U280" s="913"/>
      <c r="V280" s="913"/>
      <c r="W280" s="913"/>
      <c r="X280" s="913"/>
      <c r="Y280" s="913"/>
      <c r="Z280" s="913"/>
      <c r="AA280" s="913"/>
      <c r="AB280" s="913"/>
      <c r="AC280" s="914"/>
      <c r="AD280" s="225"/>
      <c r="AE280" s="176"/>
      <c r="AH280" s="1">
        <f>IF(AA251=Ceny_n!$B$184,IF(AI242=1,Ceny!$F$934,IF(AI242=2,Ceny!$G$934,0)),0)</f>
        <v>0</v>
      </c>
      <c r="AI280" s="1" t="str">
        <f>IF(AG270=3,AH280,AH289)</f>
        <v xml:space="preserve"> </v>
      </c>
      <c r="BD280" s="48" t="e">
        <v>#REF!</v>
      </c>
      <c r="BE280" s="1" t="e">
        <f t="shared" si="30"/>
        <v>#REF!</v>
      </c>
    </row>
    <row r="281" spans="2:57" ht="7.35" customHeight="1" thickBot="1">
      <c r="B281" s="894"/>
      <c r="C281" s="895"/>
      <c r="D281" s="895"/>
      <c r="E281" s="895"/>
      <c r="F281" s="895"/>
      <c r="G281" s="913"/>
      <c r="H281" s="913"/>
      <c r="I281" s="913"/>
      <c r="J281" s="913"/>
      <c r="K281" s="913"/>
      <c r="L281" s="913"/>
      <c r="M281" s="913"/>
      <c r="N281" s="913"/>
      <c r="O281" s="913"/>
      <c r="P281" s="913"/>
      <c r="Q281" s="913"/>
      <c r="R281" s="913"/>
      <c r="S281" s="913"/>
      <c r="T281" s="913"/>
      <c r="U281" s="913"/>
      <c r="V281" s="913"/>
      <c r="W281" s="913"/>
      <c r="X281" s="913"/>
      <c r="Y281" s="913"/>
      <c r="Z281" s="913"/>
      <c r="AA281" s="913"/>
      <c r="AB281" s="913"/>
      <c r="AC281" s="914"/>
      <c r="AD281" s="225"/>
      <c r="AE281" s="176"/>
      <c r="AH281" s="1">
        <f>IF(AA251=Ceny_n!$B$184,IF(AI242=1,Ceny!$F$935,IF(AI242=2,Ceny!$G$935,0)),0)</f>
        <v>0</v>
      </c>
      <c r="AI281" s="1" t="str">
        <f>IF(AG270=3,AH281,AH289)</f>
        <v xml:space="preserve"> </v>
      </c>
      <c r="BD281" s="52" t="e">
        <v>#REF!</v>
      </c>
      <c r="BE281" s="1" t="e">
        <f t="shared" si="30"/>
        <v>#REF!</v>
      </c>
    </row>
    <row r="282" spans="2:57" ht="7.35" customHeight="1">
      <c r="B282" s="894"/>
      <c r="C282" s="895"/>
      <c r="D282" s="895"/>
      <c r="E282" s="895"/>
      <c r="F282" s="895"/>
      <c r="G282" s="913"/>
      <c r="H282" s="913"/>
      <c r="I282" s="913"/>
      <c r="J282" s="913"/>
      <c r="K282" s="913"/>
      <c r="L282" s="913"/>
      <c r="M282" s="913"/>
      <c r="N282" s="913"/>
      <c r="O282" s="913"/>
      <c r="P282" s="913"/>
      <c r="Q282" s="913"/>
      <c r="R282" s="913"/>
      <c r="S282" s="913"/>
      <c r="T282" s="913"/>
      <c r="U282" s="913"/>
      <c r="V282" s="913"/>
      <c r="W282" s="913"/>
      <c r="X282" s="913"/>
      <c r="Y282" s="913"/>
      <c r="Z282" s="913"/>
      <c r="AA282" s="913"/>
      <c r="AB282" s="913"/>
      <c r="AC282" s="914"/>
      <c r="AD282" s="225"/>
      <c r="AE282" s="176"/>
      <c r="AH282" s="1">
        <f>IF(AA251=Ceny_n!$B$184,IF(AI242=1,Ceny!$F$936,IF(AI242=2,Ceny!$G$936,0)),0)</f>
        <v>0</v>
      </c>
      <c r="AI282" s="1" t="str">
        <f>IF(AG270=3,AH282,AH289)</f>
        <v xml:space="preserve"> </v>
      </c>
    </row>
    <row r="283" spans="2:57" ht="7.35" customHeight="1">
      <c r="B283" s="894"/>
      <c r="C283" s="895"/>
      <c r="D283" s="895"/>
      <c r="E283" s="895"/>
      <c r="F283" s="895"/>
      <c r="G283" s="913"/>
      <c r="H283" s="913"/>
      <c r="I283" s="913"/>
      <c r="J283" s="913"/>
      <c r="K283" s="913"/>
      <c r="L283" s="913"/>
      <c r="M283" s="913"/>
      <c r="N283" s="913"/>
      <c r="O283" s="913"/>
      <c r="P283" s="913"/>
      <c r="Q283" s="913"/>
      <c r="R283" s="913"/>
      <c r="S283" s="913"/>
      <c r="T283" s="913"/>
      <c r="U283" s="913"/>
      <c r="V283" s="913"/>
      <c r="W283" s="913"/>
      <c r="X283" s="913"/>
      <c r="Y283" s="913"/>
      <c r="Z283" s="913"/>
      <c r="AA283" s="913"/>
      <c r="AB283" s="913"/>
      <c r="AC283" s="914"/>
      <c r="AD283" s="225"/>
      <c r="AE283" s="176"/>
      <c r="AH283" s="1">
        <f>IF(AA251=Ceny_n!$B$184,IF(AI242=1,Ceny!$F$937,IF(AI242=2,Ceny!$G$937,0)),0)</f>
        <v>0</v>
      </c>
      <c r="AI283" s="1" t="str">
        <f>IF(AG270=3,AH283,AH289)</f>
        <v xml:space="preserve"> </v>
      </c>
    </row>
    <row r="284" spans="2:57" ht="20.25" customHeight="1">
      <c r="B284" s="894"/>
      <c r="C284" s="895"/>
      <c r="D284" s="895"/>
      <c r="E284" s="895"/>
      <c r="F284" s="895"/>
      <c r="G284" s="913"/>
      <c r="H284" s="913"/>
      <c r="I284" s="913"/>
      <c r="J284" s="913"/>
      <c r="K284" s="913"/>
      <c r="L284" s="913"/>
      <c r="M284" s="913"/>
      <c r="N284" s="913"/>
      <c r="O284" s="913"/>
      <c r="P284" s="913"/>
      <c r="Q284" s="913"/>
      <c r="R284" s="913"/>
      <c r="S284" s="913"/>
      <c r="T284" s="913"/>
      <c r="U284" s="913"/>
      <c r="V284" s="913"/>
      <c r="W284" s="913"/>
      <c r="X284" s="913"/>
      <c r="Y284" s="913"/>
      <c r="Z284" s="913"/>
      <c r="AA284" s="913"/>
      <c r="AB284" s="913"/>
      <c r="AC284" s="914"/>
      <c r="AD284" s="225"/>
      <c r="AE284" s="176"/>
      <c r="AH284" s="1">
        <f>IF(AA251=Ceny_n!$B$184,IF(AI242=1,Ceny!$F$938,IF(AI242=2,Ceny!$G$938,0)),0)</f>
        <v>0</v>
      </c>
      <c r="AI284" s="1" t="str">
        <f>IF(AG270=3,AH284,AH289)</f>
        <v xml:space="preserve"> </v>
      </c>
    </row>
    <row r="285" spans="2:57" ht="7.35" customHeight="1">
      <c r="B285" s="894"/>
      <c r="C285" s="895"/>
      <c r="D285" s="895"/>
      <c r="E285" s="895"/>
      <c r="F285" s="895"/>
      <c r="G285" s="913"/>
      <c r="H285" s="913"/>
      <c r="I285" s="913"/>
      <c r="J285" s="913"/>
      <c r="K285" s="913"/>
      <c r="L285" s="913"/>
      <c r="M285" s="913"/>
      <c r="N285" s="913"/>
      <c r="O285" s="913"/>
      <c r="P285" s="913"/>
      <c r="Q285" s="913"/>
      <c r="R285" s="913"/>
      <c r="S285" s="913"/>
      <c r="T285" s="913"/>
      <c r="U285" s="913"/>
      <c r="V285" s="913"/>
      <c r="W285" s="913"/>
      <c r="X285" s="913"/>
      <c r="Y285" s="913"/>
      <c r="Z285" s="913"/>
      <c r="AA285" s="913"/>
      <c r="AB285" s="913"/>
      <c r="AC285" s="914"/>
      <c r="AD285" s="225"/>
      <c r="AE285" s="176"/>
      <c r="AH285" s="1">
        <f>IF(AA251=Ceny_n!$B$184,IF(AI242=1,Ceny!$F$939,IF(AI242=2,Ceny!$G$939,0)),0)</f>
        <v>0</v>
      </c>
    </row>
    <row r="286" spans="2:57" ht="7.35" customHeight="1">
      <c r="B286" s="894"/>
      <c r="C286" s="895"/>
      <c r="D286" s="895"/>
      <c r="E286" s="895"/>
      <c r="F286" s="895"/>
      <c r="G286" s="913"/>
      <c r="H286" s="913"/>
      <c r="I286" s="913"/>
      <c r="J286" s="913"/>
      <c r="K286" s="913"/>
      <c r="L286" s="913"/>
      <c r="M286" s="913"/>
      <c r="N286" s="913"/>
      <c r="O286" s="913"/>
      <c r="P286" s="913"/>
      <c r="Q286" s="913"/>
      <c r="R286" s="913"/>
      <c r="S286" s="913"/>
      <c r="T286" s="913"/>
      <c r="U286" s="913"/>
      <c r="V286" s="913"/>
      <c r="W286" s="913"/>
      <c r="X286" s="913"/>
      <c r="Y286" s="913"/>
      <c r="Z286" s="913"/>
      <c r="AA286" s="913"/>
      <c r="AB286" s="913"/>
      <c r="AC286" s="914"/>
      <c r="AD286" s="225"/>
      <c r="AE286" s="176"/>
      <c r="AH286" s="1">
        <f>IF(AA251=Ceny_n!$B$184,IF(AI242=1,Ceny!$F$940,IF(AI242=2,Ceny!$G$940,0)),0)</f>
        <v>0</v>
      </c>
    </row>
    <row r="287" spans="2:57" ht="7.35" customHeight="1">
      <c r="B287" s="894"/>
      <c r="C287" s="895"/>
      <c r="D287" s="895"/>
      <c r="E287" s="895"/>
      <c r="F287" s="895"/>
      <c r="G287" s="913"/>
      <c r="H287" s="913"/>
      <c r="I287" s="913"/>
      <c r="J287" s="913"/>
      <c r="K287" s="913"/>
      <c r="L287" s="913"/>
      <c r="M287" s="913"/>
      <c r="N287" s="913"/>
      <c r="O287" s="913"/>
      <c r="P287" s="913"/>
      <c r="Q287" s="913"/>
      <c r="R287" s="913"/>
      <c r="S287" s="913"/>
      <c r="T287" s="913"/>
      <c r="U287" s="913"/>
      <c r="V287" s="913"/>
      <c r="W287" s="913"/>
      <c r="X287" s="913"/>
      <c r="Y287" s="913"/>
      <c r="Z287" s="913"/>
      <c r="AA287" s="913"/>
      <c r="AB287" s="913"/>
      <c r="AC287" s="914"/>
      <c r="AD287" s="225"/>
      <c r="AE287" s="176"/>
      <c r="AH287" s="1">
        <f>IF(AA251=Ceny_n!$B$184,IF(AI242=1,Ceny!$F$941,IF(AI242=2,Ceny!$G$941,0)),0)</f>
        <v>0</v>
      </c>
    </row>
    <row r="288" spans="2:57" ht="7.35" customHeight="1">
      <c r="B288" s="896"/>
      <c r="C288" s="897"/>
      <c r="D288" s="897"/>
      <c r="E288" s="897"/>
      <c r="F288" s="897"/>
      <c r="G288" s="915"/>
      <c r="H288" s="915"/>
      <c r="I288" s="915"/>
      <c r="J288" s="915"/>
      <c r="K288" s="915"/>
      <c r="L288" s="915"/>
      <c r="M288" s="915"/>
      <c r="N288" s="915"/>
      <c r="O288" s="915"/>
      <c r="P288" s="915"/>
      <c r="Q288" s="915"/>
      <c r="R288" s="915"/>
      <c r="S288" s="915"/>
      <c r="T288" s="915"/>
      <c r="U288" s="915"/>
      <c r="V288" s="915"/>
      <c r="W288" s="915"/>
      <c r="X288" s="915"/>
      <c r="Y288" s="915"/>
      <c r="Z288" s="915"/>
      <c r="AA288" s="915"/>
      <c r="AB288" s="915"/>
      <c r="AC288" s="916"/>
      <c r="AD288" s="225"/>
      <c r="AE288" s="176"/>
      <c r="AH288" s="1">
        <f>IF(AA251=Ceny_n!$B$184,IF(AI242=1,Ceny!$F$942,IF(AI242=2,Ceny!$G$942,0)),0)</f>
        <v>0</v>
      </c>
    </row>
    <row r="289" spans="2:59" ht="7.5" customHeight="1">
      <c r="B289" s="92"/>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4"/>
      <c r="AD289" s="226"/>
      <c r="AE289" s="177"/>
      <c r="AH289" s="1" t="s">
        <v>677</v>
      </c>
    </row>
    <row r="290" spans="2:59" ht="26.25">
      <c r="B290" s="120" t="s">
        <v>5</v>
      </c>
      <c r="C290" s="872" t="str">
        <f>Ceny_n!$B$129</f>
        <v>Rámeček</v>
      </c>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c r="AA290" s="872"/>
      <c r="AB290" s="872"/>
      <c r="AC290" s="873"/>
      <c r="AD290" s="218"/>
      <c r="AE290" s="166"/>
    </row>
    <row r="291" spans="2:59" ht="15.75" thickBot="1">
      <c r="B291" s="79"/>
      <c r="AC291" s="76"/>
      <c r="AD291" s="227" t="s">
        <v>1192</v>
      </c>
      <c r="AJ291" s="938" t="s">
        <v>1514</v>
      </c>
      <c r="AK291" s="938"/>
    </row>
    <row r="292" spans="2:59" ht="15.75" thickBot="1">
      <c r="B292" s="80"/>
      <c r="D292" s="917" t="str">
        <f>IF(H292=1,AC301,"")</f>
        <v/>
      </c>
      <c r="E292" s="918"/>
      <c r="F292" s="918"/>
      <c r="G292" s="918"/>
      <c r="H292" s="38">
        <f>IF(AG324=3,1,0)</f>
        <v>0</v>
      </c>
      <c r="I292" s="38"/>
      <c r="J292" s="38"/>
      <c r="K292" s="38" t="b">
        <f>IF(AG324=3,IF(AC300=4,1,0))</f>
        <v>0</v>
      </c>
      <c r="L292" s="38"/>
      <c r="M292" s="38" t="b">
        <f>IF(AG324=3,IF(AC300=3,1,0))</f>
        <v>0</v>
      </c>
      <c r="N292" s="38"/>
      <c r="O292" s="38" t="b">
        <f>IF(AG324=3,IF(AC300=4,1,0))</f>
        <v>0</v>
      </c>
      <c r="P292" s="38"/>
      <c r="Q292" s="38"/>
      <c r="R292" s="38">
        <f>IF(AG324=3,1,0)</f>
        <v>0</v>
      </c>
      <c r="S292" s="959" t="str">
        <f>IF(R292=1,AC301,"")</f>
        <v/>
      </c>
      <c r="T292" s="959"/>
      <c r="U292" s="959"/>
      <c r="V292" s="959"/>
      <c r="W292" s="960"/>
      <c r="Y292" s="40"/>
      <c r="AA292" s="799"/>
      <c r="AB292" s="799"/>
      <c r="AC292" s="76"/>
      <c r="AG292" s="1" t="s">
        <v>87</v>
      </c>
      <c r="AH292" s="1" t="s">
        <v>88</v>
      </c>
      <c r="AI292" s="1" t="s">
        <v>89</v>
      </c>
      <c r="AJ292" s="1" t="s">
        <v>6</v>
      </c>
      <c r="AL292" s="1" t="s">
        <v>99</v>
      </c>
      <c r="AM292" s="1" t="s">
        <v>90</v>
      </c>
      <c r="AN292" s="1" t="s">
        <v>109</v>
      </c>
      <c r="AP292" s="1" t="s">
        <v>91</v>
      </c>
      <c r="AR292" s="1" t="s">
        <v>93</v>
      </c>
      <c r="AS292" s="1" t="s">
        <v>92</v>
      </c>
      <c r="BB292" s="1">
        <v>0</v>
      </c>
      <c r="BD292" s="1" t="e">
        <f>IF(ISNA(VLOOKUP(AC298,#REF!,14,FALSE)),2,IF(VLOOKUP(AC298,#REF!,14,FALSE)="N",1,2))</f>
        <v>#REF!</v>
      </c>
    </row>
    <row r="293" spans="2:59" ht="18" customHeight="1">
      <c r="B293" s="80"/>
      <c r="D293" s="902" t="str">
        <f>IF(D297=1,AC301,"")</f>
        <v/>
      </c>
      <c r="E293" s="41"/>
      <c r="F293" s="42"/>
      <c r="G293" s="42"/>
      <c r="H293" s="42"/>
      <c r="I293" s="42"/>
      <c r="J293" s="42"/>
      <c r="K293" s="42"/>
      <c r="L293" s="42"/>
      <c r="M293" s="42"/>
      <c r="N293" s="42"/>
      <c r="O293" s="42"/>
      <c r="P293" s="42"/>
      <c r="Q293" s="42"/>
      <c r="R293" s="42"/>
      <c r="S293" s="42"/>
      <c r="T293" s="42"/>
      <c r="U293" s="42"/>
      <c r="V293" s="43"/>
      <c r="W293" s="902" t="str">
        <f>IF(W297=1,AC301,"")</f>
        <v/>
      </c>
      <c r="AA293" s="927" t="str">
        <f>Ceny_n!$B$132</f>
        <v>Typ profilu</v>
      </c>
      <c r="AB293" s="928"/>
      <c r="AC293" s="206" t="s">
        <v>984</v>
      </c>
      <c r="AD293" s="167" t="s">
        <v>1646</v>
      </c>
      <c r="AE293" s="167"/>
      <c r="AF293" s="87">
        <f>IF(AC297=AV_HL_SD,TYP_RAM,AG298)</f>
        <v>0</v>
      </c>
      <c r="AG293" s="1">
        <f>VLOOKUP(AC293,$B$348:$D$391,2,0)</f>
        <v>212.18</v>
      </c>
      <c r="AH293" s="1">
        <f>AG293*(((L322/1000)+(Y298/1000))*2)</f>
        <v>509.23199999999997</v>
      </c>
      <c r="AI293" s="1">
        <f>AH293*AC295</f>
        <v>0</v>
      </c>
      <c r="AJ293" s="1">
        <f>VLOOKUP(AC293,$B$348:$D$391,3,0)</f>
        <v>92.7</v>
      </c>
      <c r="AL293" s="1">
        <f>VLOOKUP(AC293,$B$348:$I$392,AH297,0)</f>
        <v>0</v>
      </c>
      <c r="AM293" s="1">
        <f>AJ293*AC295</f>
        <v>0</v>
      </c>
      <c r="AN293" s="1">
        <f>AL293*AC295</f>
        <v>0</v>
      </c>
      <c r="AP293" s="1">
        <f>VLOOKUP(AC294,$B$403:$C$477,2,0)</f>
        <v>0</v>
      </c>
      <c r="AR293" s="1">
        <f>(L322/1000)*(Y298/1000)*AP293</f>
        <v>0</v>
      </c>
      <c r="AS293" s="1">
        <f>AR293*AC295</f>
        <v>0</v>
      </c>
      <c r="BB293" s="937" t="s">
        <v>1211</v>
      </c>
      <c r="BC293" s="937"/>
      <c r="BD293" s="937"/>
      <c r="BE293" s="937"/>
      <c r="BF293" s="937"/>
      <c r="BG293" s="937"/>
    </row>
    <row r="294" spans="2:59" ht="18" customHeight="1" thickBot="1">
      <c r="B294" s="80"/>
      <c r="D294" s="902"/>
      <c r="E294" s="44"/>
      <c r="F294" s="45"/>
      <c r="G294" s="45"/>
      <c r="H294" s="45"/>
      <c r="I294" s="45"/>
      <c r="J294" s="45"/>
      <c r="K294" s="45"/>
      <c r="L294" s="45"/>
      <c r="M294" s="45"/>
      <c r="N294" s="45"/>
      <c r="O294" s="45"/>
      <c r="P294" s="45"/>
      <c r="Q294" s="45"/>
      <c r="R294" s="45"/>
      <c r="S294" s="45"/>
      <c r="T294" s="45"/>
      <c r="U294" s="45"/>
      <c r="V294" s="46"/>
      <c r="W294" s="902"/>
      <c r="AA294" s="907" t="str">
        <f>Ceny_n!$B$133</f>
        <v>Typ skla</v>
      </c>
      <c r="AB294" s="908"/>
      <c r="AC294" s="207"/>
      <c r="AD294" s="167" t="s">
        <v>1522</v>
      </c>
      <c r="AE294" s="168"/>
      <c r="AF294" s="1" t="str">
        <f>Ceny_n!$B$199</f>
        <v>Vyberte ze seznamu</v>
      </c>
      <c r="AG294" s="1" t="s">
        <v>220</v>
      </c>
      <c r="AH294" s="1" t="s">
        <v>226</v>
      </c>
      <c r="AI294" s="1" t="s">
        <v>227</v>
      </c>
      <c r="AJ294" s="1" t="s">
        <v>371</v>
      </c>
      <c r="AL294" s="1" t="s">
        <v>29</v>
      </c>
      <c r="BB294" s="178" t="s">
        <v>1051</v>
      </c>
      <c r="BC294" s="179" t="s">
        <v>1057</v>
      </c>
      <c r="BD294" s="182" t="s">
        <v>1078</v>
      </c>
      <c r="BE294" s="182"/>
      <c r="BF294" s="1" t="s">
        <v>1166</v>
      </c>
      <c r="BG294" s="1" t="s">
        <v>1167</v>
      </c>
    </row>
    <row r="295" spans="2:59" ht="18" customHeight="1" thickBot="1">
      <c r="B295" s="80"/>
      <c r="D295" s="902"/>
      <c r="E295" s="44"/>
      <c r="F295" s="45"/>
      <c r="G295" s="45"/>
      <c r="H295" s="45"/>
      <c r="I295" s="45"/>
      <c r="J295" s="45"/>
      <c r="K295" s="45"/>
      <c r="L295" s="45"/>
      <c r="M295" s="45"/>
      <c r="N295" s="45"/>
      <c r="O295" s="45"/>
      <c r="P295" s="45"/>
      <c r="Q295" s="45"/>
      <c r="R295" s="45"/>
      <c r="S295" s="45"/>
      <c r="T295" s="45"/>
      <c r="U295" s="45"/>
      <c r="V295" s="46"/>
      <c r="W295" s="902"/>
      <c r="AA295" s="907" t="str">
        <f>Ceny_n!$B$134</f>
        <v>Počet kusů</v>
      </c>
      <c r="AB295" s="908"/>
      <c r="AC295" s="207"/>
      <c r="AD295" s="167" t="s">
        <v>1195</v>
      </c>
      <c r="AE295" s="168"/>
      <c r="AF295" s="1" t="str">
        <f>IF(AC293=AF294,"",Ceny!$B$141)</f>
        <v>Závěsy</v>
      </c>
      <c r="AG295" s="1" t="e">
        <f>VLOOKUP(AR296,Ceny!$B$847:$D$917,3,0)</f>
        <v>#VALUE!</v>
      </c>
      <c r="AH295" s="1" t="e">
        <f>VLOOKUP(AW296,Ceny!$B$847:$D$917,3,0)</f>
        <v>#VALUE!</v>
      </c>
      <c r="AI295" s="1" t="e">
        <f>(AG295+AH295)*AC295*AC300</f>
        <v>#VALUE!</v>
      </c>
      <c r="AJ295" s="1">
        <f>IF(AC305=0,0,VLOOKUP(AC305,AI319:AY333,13,0))</f>
        <v>0</v>
      </c>
      <c r="AL295" s="1">
        <f>AG315*AC295*AJ295</f>
        <v>0</v>
      </c>
      <c r="AP295" s="938" t="s">
        <v>1515</v>
      </c>
      <c r="AQ295" s="938"/>
      <c r="BB295" s="47" t="e">
        <f t="array" ref="BB295:BB312">IF(AI296=1,PANT_HETTICH_WIDE,PANT_HETTICH_SLIM)</f>
        <v>#REF!</v>
      </c>
      <c r="BC295" s="185" t="e">
        <f t="array" ref="BC295:BC312">IF(AI296=2,PANT_BLUM_WIDE,PANT_BLUM_SLIM)</f>
        <v>#REF!</v>
      </c>
      <c r="BD295" s="47" t="e">
        <f t="array" ref="BD295:BD335">IF(ISNA(IF(AND(AI296=2,AC304=NAHORE),VYKLOP_UP_WIDE,
IF(AND(AI296=2,AC304=DOLE),VYKLOP_DWN_WIDE,
IF(AND(AI296=1,AC304=NAHORE),VYKLOP_UP_SLIM,
IF(AND(AI296=1,AC304=DOLE),VYKLOP_DWN_SLIM,""))))),"",IF(BD292=2,"",IF(AND(AI296=2,AC304=NAHORE),VYKLOP_UP_WIDE,
IF(AND(AI296=2,AC304=DOLE),VYKLOP_DWN_WIDE,
IF(AND(AI296=1,AC304=NAHORE),VYKLOP_UP_SLIM,
IF(AND(AI296=1,AC304=DOLE),VYKLOP_DWN_SLIM,""))))))</f>
        <v>#REF!</v>
      </c>
      <c r="BE295" s="1" t="e">
        <f>IF(OR(ISNA(BD295),BD295=""),"",1)</f>
        <v>#REF!</v>
      </c>
      <c r="BF295" s="47" t="e">
        <f t="array" ref="BF295:BF311">IF(AI296=1,PANT_STRONG_SLIM_BTL,PANT_STRONG_WIDE_BTL)</f>
        <v>#REF!</v>
      </c>
      <c r="BG295" s="47" t="e">
        <f t="array" ref="BG295:BG311">IF(AI296=1,PANT_STRONG_SLIM_STL,PANT_STRONG_WIDE_STL)</f>
        <v>#REF!</v>
      </c>
    </row>
    <row r="296" spans="2:59" ht="18" customHeight="1" thickBot="1">
      <c r="B296" s="80"/>
      <c r="D296" s="902"/>
      <c r="E296" s="44"/>
      <c r="F296" s="45"/>
      <c r="G296" s="45"/>
      <c r="H296" s="45"/>
      <c r="I296" s="45"/>
      <c r="J296" s="45"/>
      <c r="K296" s="45"/>
      <c r="L296" s="45"/>
      <c r="M296" s="45"/>
      <c r="N296" s="45"/>
      <c r="O296" s="45"/>
      <c r="P296" s="45"/>
      <c r="Q296" s="45"/>
      <c r="R296" s="45"/>
      <c r="S296" s="45"/>
      <c r="T296" s="45"/>
      <c r="U296" s="45"/>
      <c r="V296" s="46"/>
      <c r="W296" s="902"/>
      <c r="AA296" s="907" t="str">
        <f>Ceny_n!$B$215</f>
        <v>Typ kování</v>
      </c>
      <c r="AB296" s="908"/>
      <c r="AC296" s="207"/>
      <c r="AD296" s="167" t="s">
        <v>1189</v>
      </c>
      <c r="AE296" s="168"/>
      <c r="AF296" s="87" t="str">
        <f>IF(AC293=AF294,"",AV_HF)</f>
        <v>AVENTOS HF</v>
      </c>
      <c r="AI296" s="1" t="e">
        <f>IF(AC293=AF294,0,VLOOKUP(AC293,#REF!,2,0))</f>
        <v>#REF!</v>
      </c>
      <c r="AJ296" s="193" t="str">
        <f>IF(AC296=AV_HF,HOR_DV,
IF(AC296=AV_HF_SD,HOR_DV,
IF(AC296=AV_OST,AV_HK,
IF(AC296=ZAVESY,PRAZDNE_1,""))))</f>
        <v/>
      </c>
      <c r="AK296" s="194" t="str">
        <f t="shared" ref="AK296:AK307" si="36">IF(OR(ISNA(AJ296),AJ296=""),"",1)</f>
        <v/>
      </c>
      <c r="AL296" s="799" t="s">
        <v>21</v>
      </c>
      <c r="AM296" s="799"/>
      <c r="AN296" s="799"/>
      <c r="AO296" s="181"/>
      <c r="AP296" s="1" t="e">
        <f>IF(AE298=AP297,1,IF(AE298=AP298,2,IF(AE298=AP299,3,IF(AE298=AP300,4,IF(AE298=AP301,5,IF(AE298=AP302,6,IF(AE298=AP303,7,0)))))))</f>
        <v>#VALUE!</v>
      </c>
      <c r="AR296" s="1" t="e">
        <f>VLOOKUP(AP296,AL297:AR622,5,0)</f>
        <v>#VALUE!</v>
      </c>
      <c r="AS296" s="945" t="s">
        <v>1178</v>
      </c>
      <c r="AT296" s="945"/>
      <c r="AU296" s="1" t="e">
        <f>IF(AE299=AU297,1,IF(AE299=AU298,2,0))</f>
        <v>#VALUE!</v>
      </c>
      <c r="AW296" s="1" t="e">
        <f>VLOOKUP(AU296,AL297:AS298,6,0)</f>
        <v>#VALUE!</v>
      </c>
      <c r="BB296" s="48" t="e">
        <v>#REF!</v>
      </c>
      <c r="BC296" s="186" t="e">
        <v>#REF!</v>
      </c>
      <c r="BD296" s="48" t="e">
        <v>#REF!</v>
      </c>
      <c r="BE296" s="1" t="e">
        <f t="shared" ref="BE296:BE335" si="37">IF(OR(ISNA(BD296),BD296=""),"",1)</f>
        <v>#REF!</v>
      </c>
      <c r="BF296" s="48" t="e">
        <v>#REF!</v>
      </c>
      <c r="BG296" s="48" t="e">
        <v>#REF!</v>
      </c>
    </row>
    <row r="297" spans="2:59" ht="18" customHeight="1">
      <c r="B297" s="80"/>
      <c r="D297" s="37">
        <f>IF(AG324=2,1,0)</f>
        <v>0</v>
      </c>
      <c r="E297" s="44"/>
      <c r="F297" s="45"/>
      <c r="G297" s="45"/>
      <c r="H297" s="45"/>
      <c r="I297" s="45"/>
      <c r="J297" s="45"/>
      <c r="K297" s="45"/>
      <c r="L297" s="45"/>
      <c r="M297" s="45"/>
      <c r="N297" s="45"/>
      <c r="O297" s="45"/>
      <c r="P297" s="45"/>
      <c r="Q297" s="45"/>
      <c r="R297" s="45"/>
      <c r="S297" s="45"/>
      <c r="T297" s="45"/>
      <c r="U297" s="45"/>
      <c r="V297" s="46"/>
      <c r="W297" s="37">
        <f>IF(AG324=1,1,0)</f>
        <v>0</v>
      </c>
      <c r="AA297" s="907">
        <f>IF(AC296=AV_HF,POZ_RAM,
IF(AC296=AV_HF_SD,POZ_RAM,
IF(AC296=ZAVESY,VYR_ZAVES,
IF(AC296=AV_OST,TYP_AV,0))))</f>
        <v>0</v>
      </c>
      <c r="AB297" s="908"/>
      <c r="AC297" s="208"/>
      <c r="AD297" s="219" t="s">
        <v>1207</v>
      </c>
      <c r="AE297" s="169"/>
      <c r="AF297" s="87" t="str">
        <f>IF(AC293=AF294,"",AV_HF_SD)</f>
        <v>AVENTOS HF Servo Drive</v>
      </c>
      <c r="AH297" s="1">
        <f>IF(AC296=AV_HF,5,IF(AC296=AV_HF_SD,5,IF(AC296=AV_OST,5,8)))</f>
        <v>8</v>
      </c>
      <c r="AI297" s="190" t="e">
        <f>IF(AI296=1,$B$480,IF(AI296=2,$B$484,0))</f>
        <v>#REF!</v>
      </c>
      <c r="AJ297" s="195" t="str">
        <f>IF(AC296=AV_HF,DOL_DV,
IF(AC296=AV_HF_SD,DOL_DV,
IF(AC296=AV_OST,AV_HK_TIP,
IF(AC296=ZAVESY,BLUM,""))))</f>
        <v/>
      </c>
      <c r="AK297" s="196" t="str">
        <f t="shared" si="36"/>
        <v/>
      </c>
      <c r="AL297" s="1">
        <v>1</v>
      </c>
      <c r="AM297" s="1" t="e">
        <f>IF(AC297=PRAZDNE_1,AI297,IF(AC297=BLUM,BC295,IF(AC297=STRONG_INT_TL,AI314,IF(AC297=STRONG_BINT_TL,AI310,IF(AC297=HETTICH,BB295,"")))))</f>
        <v>#REF!</v>
      </c>
      <c r="AN297" s="1" t="e">
        <f t="shared" ref="AN297:AN311" si="38">IF(ISNA(VLOOKUP(AM297,$B$480:$C$615,2,0)),"",VLOOKUP(AM297,$B$480:$C$615,2,0))</f>
        <v>#REF!</v>
      </c>
      <c r="AO297" s="1" t="e">
        <f>CONCATENATE(AN297," (",AM297,")")</f>
        <v>#REF!</v>
      </c>
      <c r="AP297" s="199">
        <f t="array" ref="AP297:AP322">IF(OR(AC296=AV_HF,AC296=AV_HF_SD),HF_TYP_2_CILKA,
IF(AC297=AV_HL,TYP_RAM_AV_HL1,
IF(AC297=AV_HL_SD,TYP_RAM_AV_HL,
IF(OR(AC297=AV_HKXS,AC297=AV_HKXS_TIP),UMISTENI_RAM_HKXS,
IF(AC297=HETTICH,T1_PANT_HETTICH,
IF(AC297=BLUM,T1_PANT_BLUM,
IF(AC297=STRONG_BINT_TL,T1_PANT_STRONG_BTL,
IF(AC297=STRONG_INT_TL,T1_PANT_STRONG_STL,PRAZDNE_1))))))))</f>
        <v>0</v>
      </c>
      <c r="AQ297" s="194" t="str">
        <f>IF(OR(ISNA(AP297),AP297=0),"",1)</f>
        <v/>
      </c>
      <c r="AS297" s="202" t="e">
        <f>VLOOKUP(AR296,#REF!,8,0)</f>
        <v>#VALUE!</v>
      </c>
      <c r="AT297" s="194" t="e">
        <f>IF(OR(ISNA(AS297),AS297=0),"",1)</f>
        <v>#VALUE!</v>
      </c>
      <c r="AU297" s="1" t="e">
        <f>IF(OR(ISNA(AS297),AS297=0),PRAZDNE_1,VLOOKUP(AR296,#REF!,5,FALSE))</f>
        <v>#VALUE!</v>
      </c>
      <c r="BB297" s="48" t="e">
        <v>#REF!</v>
      </c>
      <c r="BC297" s="186" t="e">
        <v>#REF!</v>
      </c>
      <c r="BD297" s="48" t="e">
        <v>#REF!</v>
      </c>
      <c r="BE297" s="1" t="e">
        <f t="shared" si="37"/>
        <v>#REF!</v>
      </c>
      <c r="BF297" s="48" t="e">
        <v>#REF!</v>
      </c>
      <c r="BG297" s="48" t="e">
        <v>#REF!</v>
      </c>
    </row>
    <row r="298" spans="2:59" ht="18" customHeight="1">
      <c r="B298" s="80"/>
      <c r="D298" s="37"/>
      <c r="E298" s="44"/>
      <c r="F298" s="45"/>
      <c r="G298" s="45"/>
      <c r="H298" s="45"/>
      <c r="I298" s="45"/>
      <c r="J298" s="45"/>
      <c r="K298" s="45"/>
      <c r="L298" s="45"/>
      <c r="M298" s="45"/>
      <c r="N298" s="45"/>
      <c r="O298" s="45"/>
      <c r="P298" s="45"/>
      <c r="Q298" s="45"/>
      <c r="R298" s="32"/>
      <c r="S298" s="32"/>
      <c r="T298" s="32"/>
      <c r="U298" s="32"/>
      <c r="V298" s="33"/>
      <c r="W298" s="37"/>
      <c r="Y298" s="932">
        <v>600</v>
      </c>
      <c r="AA298" s="907" t="e">
        <f>#VALUE!</f>
        <v>#VALUE!</v>
      </c>
      <c r="AB298" s="908"/>
      <c r="AC298" s="208"/>
      <c r="AD298" s="220" t="s">
        <v>1208</v>
      </c>
      <c r="AE298" s="170" t="e">
        <f>IF(AA298=HM_UCH,0,AC298)</f>
        <v>#VALUE!</v>
      </c>
      <c r="AF298" s="87" t="str">
        <f>IF(AC293=AF294,"",AV_OST)</f>
        <v>Aventos ostatní</v>
      </c>
      <c r="AG298" s="1">
        <f>IF(AC297=AV_HL_SD,HM_UCH,IF(AC297=AV_HS_SD,HM_UCH,0))</f>
        <v>0</v>
      </c>
      <c r="AI298" s="191" t="e">
        <f>IF(AI296=1,$B$481,IF(AI296=2,$B$485,0))</f>
        <v>#REF!</v>
      </c>
      <c r="AJ298" s="195" t="str">
        <f>IF(AC296=AV_OST,AV_HK_SD,
IF(AC296=ZAVESY,HETTICH,""))</f>
        <v/>
      </c>
      <c r="AK298" s="196" t="str">
        <f t="shared" si="36"/>
        <v/>
      </c>
      <c r="AL298" s="1">
        <v>2</v>
      </c>
      <c r="AM298" s="1" t="e">
        <f>IF(AC297=PRAZDNE_1,AI298,IF(AC297=BLUM,BC296,IF(AC297=STRONG_INT_TL,AI315,IF(AC297=STRONG_BINT_TL,AI311,IF(AC297=HETTICH,BB296,"")))))</f>
        <v>#REF!</v>
      </c>
      <c r="AN298" s="1" t="e">
        <f t="shared" si="38"/>
        <v>#REF!</v>
      </c>
      <c r="AO298" s="1" t="e">
        <f t="shared" ref="AO298:AO322" si="39">CONCATENATE(AN298," (",AM298,")")</f>
        <v>#REF!</v>
      </c>
      <c r="AP298" s="200">
        <v>0</v>
      </c>
      <c r="AQ298" s="196" t="str">
        <f t="shared" ref="AQ298:AQ322" si="40">IF(OR(ISNA(AP298),AP298=0),"",1)</f>
        <v/>
      </c>
      <c r="AS298" s="203" t="e">
        <f>VLOOKUP(AR296,#REF!,9,0)</f>
        <v>#VALUE!</v>
      </c>
      <c r="AT298" s="196" t="e">
        <f t="shared" ref="AT298:AT306" si="41">IF(OR(ISNA(AS298),AS298=0),"",1)</f>
        <v>#VALUE!</v>
      </c>
      <c r="AU298" s="1" t="e">
        <f>IF(OR(ISNA(AS298),AS298=0),PRAZDNE_1,VLOOKUP(AR297,#REF!,5,FALSE))</f>
        <v>#VALUE!</v>
      </c>
      <c r="BB298" s="48" t="e">
        <v>#REF!</v>
      </c>
      <c r="BC298" s="186" t="e">
        <v>#REF!</v>
      </c>
      <c r="BD298" s="48" t="e">
        <v>#REF!</v>
      </c>
      <c r="BE298" s="1" t="e">
        <f t="shared" si="37"/>
        <v>#REF!</v>
      </c>
      <c r="BF298" s="48" t="e">
        <v>#REF!</v>
      </c>
      <c r="BG298" s="48" t="e">
        <v>#REF!</v>
      </c>
    </row>
    <row r="299" spans="2:59" ht="18" customHeight="1">
      <c r="B299" s="80"/>
      <c r="D299" s="37"/>
      <c r="E299" s="44"/>
      <c r="F299" s="45"/>
      <c r="G299" s="45"/>
      <c r="H299" s="45"/>
      <c r="I299" s="45"/>
      <c r="J299" s="45"/>
      <c r="K299" s="45"/>
      <c r="L299" s="45"/>
      <c r="M299" s="45"/>
      <c r="N299" s="45"/>
      <c r="O299" s="45"/>
      <c r="P299" s="45"/>
      <c r="Q299" s="45"/>
      <c r="R299" s="34" t="s">
        <v>15</v>
      </c>
      <c r="S299" s="45"/>
      <c r="T299" s="45"/>
      <c r="U299" s="49"/>
      <c r="V299" s="46"/>
      <c r="W299" s="37"/>
      <c r="Y299" s="933"/>
      <c r="AA299" s="907">
        <f>IF(AC296=AV_HF,HM_UCH,
IF(AC297=AV_HL,HM_UCH,
IF('Běžné rámečky'!AC297=AV_HL_SD,HM_UCH,
IF(AC296=AV_HF_SD,HM_UCH,
IF(AC296=ZAVESY,TYP_PODL,IF(AC297=AV_HKXS,HM_UCH,0))))))</f>
        <v>0</v>
      </c>
      <c r="AB299" s="908"/>
      <c r="AC299" s="208"/>
      <c r="AD299" s="220" t="s">
        <v>1523</v>
      </c>
      <c r="AE299" s="170">
        <f>IF(AA299=HM_UCH,0,AC299)</f>
        <v>0</v>
      </c>
      <c r="AF299" s="87" t="str">
        <f>IF(AC293=$B$372,0,$J$353)</f>
        <v>Závěsy se zvedacím pístem</v>
      </c>
      <c r="AI299" s="191" t="e">
        <f>IF(AI296=1,$B$482,IF(AI296=2,$B$486,0))</f>
        <v>#REF!</v>
      </c>
      <c r="AJ299" s="195" t="str">
        <f>IF(AC296=AV_OST,AV_HL,
IF(AC296=ZAVESY,STRONG_INT_TL,""))</f>
        <v/>
      </c>
      <c r="AK299" s="196" t="str">
        <f t="shared" si="36"/>
        <v/>
      </c>
      <c r="AL299" s="1">
        <v>3</v>
      </c>
      <c r="AM299" s="1" t="e">
        <f>IF(AC297=PRAZDNE_1,AI299,IF(AC297=BLUM,BC297,IF(AC297=STRONG_INT_TL,AI316,IF(AC297=STRONG_BINT_TL,AI312,IF(AC297=HETTICH,BB297,"")))))</f>
        <v>#REF!</v>
      </c>
      <c r="AN299" s="1" t="e">
        <f t="shared" si="38"/>
        <v>#REF!</v>
      </c>
      <c r="AO299" s="1" t="e">
        <f t="shared" si="39"/>
        <v>#REF!</v>
      </c>
      <c r="AP299" s="200">
        <v>0</v>
      </c>
      <c r="AQ299" s="196" t="str">
        <f t="shared" si="40"/>
        <v/>
      </c>
      <c r="AS299" s="203" t="e">
        <f>VLOOKUP(AR296,#REF!,10,0)</f>
        <v>#VALUE!</v>
      </c>
      <c r="AT299" s="196" t="e">
        <f t="shared" si="41"/>
        <v>#VALUE!</v>
      </c>
      <c r="AU299" s="1" t="e">
        <f>IF(OR(ISNA(AS299),AS299=0),PRAZDNE_1,VLOOKUP(AR298,#REF!,5,FALSE))</f>
        <v>#VALUE!</v>
      </c>
      <c r="BB299" s="48" t="e">
        <v>#REF!</v>
      </c>
      <c r="BC299" s="186" t="e">
        <v>#REF!</v>
      </c>
      <c r="BD299" s="48" t="e">
        <v>#REF!</v>
      </c>
      <c r="BE299" s="1" t="e">
        <f t="shared" si="37"/>
        <v>#REF!</v>
      </c>
      <c r="BF299" s="48" t="e">
        <v>#REF!</v>
      </c>
      <c r="BG299" s="48" t="e">
        <v>#REF!</v>
      </c>
    </row>
    <row r="300" spans="2:59" ht="18" customHeight="1">
      <c r="B300" s="80"/>
      <c r="D300" s="37" t="b">
        <f>IF(AG324=2,IF(AC300=4,1,0))</f>
        <v>0</v>
      </c>
      <c r="E300" s="44"/>
      <c r="F300" s="45"/>
      <c r="G300" s="45"/>
      <c r="H300" s="45"/>
      <c r="I300" s="45"/>
      <c r="J300" s="45"/>
      <c r="K300" s="45"/>
      <c r="L300" s="45"/>
      <c r="M300" s="45"/>
      <c r="N300" s="45"/>
      <c r="O300" s="45"/>
      <c r="P300" s="45"/>
      <c r="Q300" s="45"/>
      <c r="R300" s="45"/>
      <c r="S300" s="50"/>
      <c r="T300" s="51"/>
      <c r="U300" s="49"/>
      <c r="V300" s="46"/>
      <c r="W300" s="37" t="b">
        <f>IF(AG324=1,IF(AC300=4,1,0))</f>
        <v>0</v>
      </c>
      <c r="X300" s="30"/>
      <c r="Y300" s="933"/>
      <c r="AA300" s="907">
        <f>IF(AC296=ZAVESY,POC_ZAVES,0)</f>
        <v>0</v>
      </c>
      <c r="AB300" s="908"/>
      <c r="AC300" s="207"/>
      <c r="AD300" s="167" t="s">
        <v>1194</v>
      </c>
      <c r="AE300" s="168"/>
      <c r="AI300" s="191" t="e">
        <f>IF(AI296=1,$B$483,IF(AI296=2,$B$487,0))</f>
        <v>#REF!</v>
      </c>
      <c r="AJ300" s="195" t="str">
        <f>IF(AC296=AV_OST,AV_HL_SD,
IF(AC296=ZAVESY,STRONG_BINT_TL,""))</f>
        <v/>
      </c>
      <c r="AK300" s="196" t="str">
        <f t="shared" si="36"/>
        <v/>
      </c>
      <c r="AL300" s="1">
        <v>4</v>
      </c>
      <c r="AM300" s="1" t="e">
        <f>IF(AC297=PRAZDNE_1,AI300,IF(AC297=BLUM,BC298,IF(AC297=STRONG_INT_TL,AI317,IF(AC297=STRONG_BINT_TL,AI313,IF(AC297=HETTICH,BB298,"")))))</f>
        <v>#REF!</v>
      </c>
      <c r="AN300" s="1" t="e">
        <f t="shared" si="38"/>
        <v>#REF!</v>
      </c>
      <c r="AO300" s="1" t="e">
        <f t="shared" si="39"/>
        <v>#REF!</v>
      </c>
      <c r="AP300" s="200">
        <v>0</v>
      </c>
      <c r="AQ300" s="196" t="str">
        <f t="shared" si="40"/>
        <v/>
      </c>
      <c r="AS300" s="203" t="e">
        <f>VLOOKUP(AR296,#REF!,11,0)</f>
        <v>#VALUE!</v>
      </c>
      <c r="AT300" s="196" t="e">
        <f t="shared" si="41"/>
        <v>#VALUE!</v>
      </c>
      <c r="BB300" s="48" t="e">
        <v>#REF!</v>
      </c>
      <c r="BC300" s="186" t="e">
        <v>#REF!</v>
      </c>
      <c r="BD300" s="48" t="e">
        <v>#REF!</v>
      </c>
      <c r="BE300" s="1" t="e">
        <f t="shared" si="37"/>
        <v>#REF!</v>
      </c>
      <c r="BF300" s="48" t="e">
        <v>#REF!</v>
      </c>
      <c r="BG300" s="48" t="e">
        <v>#REF!</v>
      </c>
    </row>
    <row r="301" spans="2:59" ht="18" customHeight="1">
      <c r="B301" s="80"/>
      <c r="D301" s="37"/>
      <c r="E301" s="44"/>
      <c r="F301" s="45"/>
      <c r="G301" s="45"/>
      <c r="H301" s="45"/>
      <c r="I301" s="45"/>
      <c r="J301" s="45"/>
      <c r="K301" s="45"/>
      <c r="L301" s="45"/>
      <c r="M301" s="45"/>
      <c r="N301" s="45"/>
      <c r="O301" s="45"/>
      <c r="P301" s="45"/>
      <c r="Q301" s="45"/>
      <c r="R301" s="45"/>
      <c r="S301" s="931"/>
      <c r="T301" s="51"/>
      <c r="U301" s="49"/>
      <c r="V301" s="46"/>
      <c r="W301" s="37"/>
      <c r="Y301" s="933"/>
      <c r="AA301" s="907">
        <f>IF(AC296=ZAVESY,VZD_ZAVES,0)</f>
        <v>0</v>
      </c>
      <c r="AB301" s="908"/>
      <c r="AC301" s="209"/>
      <c r="AD301" s="167" t="s">
        <v>1195</v>
      </c>
      <c r="AE301" s="171"/>
      <c r="AF301" s="948"/>
      <c r="AI301" s="191" t="e">
        <f>IF(AI296=2,$B$488,0)</f>
        <v>#REF!</v>
      </c>
      <c r="AJ301" s="195" t="str">
        <f>IF(AC296=AV_OST,AV_HS,
IF(AC296=ZAVESY,
IF(AI296=1,PANT_STRONG_PLUS_SLIM,PANT_STRONG_SLIM_BTL),""))</f>
        <v/>
      </c>
      <c r="AK301" s="196" t="str">
        <f t="shared" si="36"/>
        <v/>
      </c>
      <c r="AL301" s="1">
        <v>5</v>
      </c>
      <c r="AM301" s="1" t="e">
        <f>IF(AC297=PRAZDNE_1,AI301,IF(AC297=BLUM,BC299,IF(AC297=HETTICH,BB299,"")))</f>
        <v>#REF!</v>
      </c>
      <c r="AN301" s="1" t="e">
        <f t="shared" si="38"/>
        <v>#REF!</v>
      </c>
      <c r="AO301" s="1" t="e">
        <f t="shared" si="39"/>
        <v>#REF!</v>
      </c>
      <c r="AP301" s="200">
        <v>0</v>
      </c>
      <c r="AQ301" s="196" t="str">
        <f t="shared" si="40"/>
        <v/>
      </c>
      <c r="AS301" s="203" t="e">
        <f>VLOOKUP(AR296,#REF!,12,0)</f>
        <v>#VALUE!</v>
      </c>
      <c r="AT301" s="196" t="e">
        <f t="shared" si="41"/>
        <v>#VALUE!</v>
      </c>
      <c r="BB301" s="48" t="e">
        <v>#REF!</v>
      </c>
      <c r="BC301" s="186" t="e">
        <v>#REF!</v>
      </c>
      <c r="BD301" s="48" t="e">
        <v>#REF!</v>
      </c>
      <c r="BE301" s="1" t="e">
        <f t="shared" si="37"/>
        <v>#REF!</v>
      </c>
      <c r="BF301" s="48" t="e">
        <v>#REF!</v>
      </c>
      <c r="BG301" s="48" t="e">
        <v>#REF!</v>
      </c>
    </row>
    <row r="302" spans="2:59" ht="24.75" customHeight="1" thickBot="1">
      <c r="B302" s="80"/>
      <c r="D302" s="37"/>
      <c r="E302" s="44"/>
      <c r="F302" s="45"/>
      <c r="G302" s="45"/>
      <c r="H302" s="45"/>
      <c r="I302" s="45"/>
      <c r="J302" s="45"/>
      <c r="K302" s="45"/>
      <c r="L302" s="45"/>
      <c r="M302" s="45"/>
      <c r="N302" s="45"/>
      <c r="O302" s="45"/>
      <c r="P302" s="45"/>
      <c r="Q302" s="45"/>
      <c r="R302" s="45"/>
      <c r="S302" s="931"/>
      <c r="T302" s="51"/>
      <c r="U302" s="49"/>
      <c r="V302" s="46"/>
      <c r="W302" s="37"/>
      <c r="Y302" s="933"/>
      <c r="AA302" s="188"/>
      <c r="AB302" s="189"/>
      <c r="AC302" s="210"/>
      <c r="AD302" s="221"/>
      <c r="AE302" s="172"/>
      <c r="AF302" s="948"/>
      <c r="AI302" s="192" t="e">
        <f>IF(AI296=2,$B$489,0)</f>
        <v>#REF!</v>
      </c>
      <c r="AJ302" s="195" t="str">
        <f>IF(AC296=AV_OST,AV_HS_SD,"")</f>
        <v/>
      </c>
      <c r="AK302" s="196" t="str">
        <f t="shared" si="36"/>
        <v/>
      </c>
      <c r="AL302" s="1">
        <v>6</v>
      </c>
      <c r="AM302" s="1" t="e">
        <f>IF(AC297=PRAZDNE_1,AI302,IF(AC297=BLUM,BC300,IF(AC297=HETTICH,BB300,"")))</f>
        <v>#REF!</v>
      </c>
      <c r="AN302" s="1" t="e">
        <f t="shared" si="38"/>
        <v>#REF!</v>
      </c>
      <c r="AO302" s="1" t="e">
        <f t="shared" si="39"/>
        <v>#REF!</v>
      </c>
      <c r="AP302" s="200">
        <v>0</v>
      </c>
      <c r="AQ302" s="196" t="str">
        <f t="shared" si="40"/>
        <v/>
      </c>
      <c r="AS302" s="203" t="e">
        <f>VLOOKUP(AR296,#REF!,13,0)</f>
        <v>#VALUE!</v>
      </c>
      <c r="AT302" s="196" t="e">
        <f t="shared" si="41"/>
        <v>#VALUE!</v>
      </c>
      <c r="BB302" s="48" t="e">
        <v>#REF!</v>
      </c>
      <c r="BC302" s="186" t="e">
        <v>#REF!</v>
      </c>
      <c r="BD302" s="48" t="e">
        <v>#REF!</v>
      </c>
      <c r="BE302" s="1" t="e">
        <f t="shared" si="37"/>
        <v>#REF!</v>
      </c>
      <c r="BF302" s="48" t="e">
        <v>#REF!</v>
      </c>
      <c r="BG302" s="48" t="e">
        <v>#REF!</v>
      </c>
    </row>
    <row r="303" spans="2:59" ht="18.75">
      <c r="B303" s="80"/>
      <c r="D303" s="37"/>
      <c r="E303" s="44"/>
      <c r="F303" s="45"/>
      <c r="G303" s="45"/>
      <c r="H303" s="45"/>
      <c r="I303" s="45"/>
      <c r="J303" s="45"/>
      <c r="K303" s="45"/>
      <c r="L303" s="45"/>
      <c r="M303" s="45"/>
      <c r="N303" s="45"/>
      <c r="O303" s="45"/>
      <c r="P303" s="45"/>
      <c r="Q303" s="45"/>
      <c r="R303" s="45"/>
      <c r="S303" s="931"/>
      <c r="T303" s="51"/>
      <c r="U303" s="49"/>
      <c r="V303" s="46"/>
      <c r="W303" s="37"/>
      <c r="Y303" s="933"/>
      <c r="AA303" s="188"/>
      <c r="AB303" s="189"/>
      <c r="AC303" s="210"/>
      <c r="AD303" s="221"/>
      <c r="AE303" s="172"/>
      <c r="AF303" s="948"/>
      <c r="AI303" s="190" t="e">
        <f>IF(AI296=1,$B$499,IF(AI296=2,$B$507,0))</f>
        <v>#REF!</v>
      </c>
      <c r="AJ303" s="195" t="str">
        <f>IF(AC296=AV_OST,AV_HKS,"")</f>
        <v/>
      </c>
      <c r="AK303" s="196" t="str">
        <f t="shared" si="36"/>
        <v/>
      </c>
      <c r="AL303" s="1">
        <v>7</v>
      </c>
      <c r="AM303" s="1" t="str">
        <f>IF(AC297=HETTICH,BB301,IF(AC297=BLUM,BC301,""))</f>
        <v/>
      </c>
      <c r="AN303" s="1" t="str">
        <f t="shared" si="38"/>
        <v/>
      </c>
      <c r="AO303" s="1" t="str">
        <f t="shared" si="39"/>
        <v xml:space="preserve"> ()</v>
      </c>
      <c r="AP303" s="200">
        <v>0</v>
      </c>
      <c r="AQ303" s="196" t="str">
        <f t="shared" si="40"/>
        <v/>
      </c>
      <c r="AS303" s="203"/>
      <c r="AT303" s="196" t="str">
        <f t="shared" si="41"/>
        <v/>
      </c>
      <c r="BB303" s="48" t="e">
        <v>#REF!</v>
      </c>
      <c r="BC303" s="186" t="e">
        <v>#REF!</v>
      </c>
      <c r="BD303" s="48" t="e">
        <v>#REF!</v>
      </c>
      <c r="BE303" s="1" t="e">
        <f t="shared" si="37"/>
        <v>#REF!</v>
      </c>
      <c r="BF303" s="48" t="e">
        <v>#REF!</v>
      </c>
      <c r="BG303" s="48" t="e">
        <v>#REF!</v>
      </c>
    </row>
    <row r="304" spans="2:59" ht="18" customHeight="1">
      <c r="B304" s="80"/>
      <c r="D304" s="37" t="b">
        <f>IF(AG324=2,IF(AC300=3,1,0))</f>
        <v>0</v>
      </c>
      <c r="E304" s="44"/>
      <c r="F304" s="45"/>
      <c r="G304" s="45"/>
      <c r="H304" s="45"/>
      <c r="I304" s="45"/>
      <c r="J304" s="45"/>
      <c r="K304" s="45"/>
      <c r="L304" s="45"/>
      <c r="M304" s="45"/>
      <c r="N304" s="45"/>
      <c r="O304" s="45"/>
      <c r="P304" s="45"/>
      <c r="Q304" s="45"/>
      <c r="R304" s="45"/>
      <c r="S304" s="931"/>
      <c r="T304" s="51"/>
      <c r="U304" s="49"/>
      <c r="V304" s="46"/>
      <c r="W304" s="37" t="b">
        <f>IF(AG324=1,IF(AC300=3,1,0))</f>
        <v>0</v>
      </c>
      <c r="Y304" s="933"/>
      <c r="AA304" s="907">
        <f>IF(AC296=ZAVESY,Ceny!$B$196,0)</f>
        <v>0</v>
      </c>
      <c r="AB304" s="908"/>
      <c r="AC304" s="207"/>
      <c r="AD304" s="167" t="s">
        <v>1196</v>
      </c>
      <c r="AE304" s="168"/>
      <c r="AG304" s="1">
        <v>2</v>
      </c>
      <c r="AH304" s="1">
        <f>IF(AC296=ZAVESY,AG304,0)</f>
        <v>0</v>
      </c>
      <c r="AI304" s="191" t="e">
        <f>IF(AI296=1,$B$500,IF(AI296=2,$B$508,0))</f>
        <v>#REF!</v>
      </c>
      <c r="AJ304" s="195" t="str">
        <f>IF(AC296=AV_OST,AV_HKS_TIP,"")</f>
        <v/>
      </c>
      <c r="AK304" s="196" t="str">
        <f t="shared" si="36"/>
        <v/>
      </c>
      <c r="AL304" s="1">
        <v>8</v>
      </c>
      <c r="AM304" s="1" t="str">
        <f>IF(AC297=HETTICH,BB302,IF(AC297=BLUM,BC302,""))</f>
        <v/>
      </c>
      <c r="AN304" s="1" t="str">
        <f t="shared" si="38"/>
        <v/>
      </c>
      <c r="AO304" s="1" t="str">
        <f t="shared" si="39"/>
        <v xml:space="preserve"> ()</v>
      </c>
      <c r="AP304" s="200">
        <v>0</v>
      </c>
      <c r="AQ304" s="196" t="str">
        <f t="shared" si="40"/>
        <v/>
      </c>
      <c r="AS304" s="203"/>
      <c r="AT304" s="196" t="str">
        <f t="shared" si="41"/>
        <v/>
      </c>
      <c r="BB304" s="48" t="e">
        <v>#REF!</v>
      </c>
      <c r="BC304" s="186" t="e">
        <v>#REF!</v>
      </c>
      <c r="BD304" s="48" t="e">
        <v>#REF!</v>
      </c>
      <c r="BE304" s="1" t="e">
        <f t="shared" si="37"/>
        <v>#REF!</v>
      </c>
      <c r="BF304" s="48" t="e">
        <v>#REF!</v>
      </c>
      <c r="BG304" s="48" t="e">
        <v>#REF!</v>
      </c>
    </row>
    <row r="305" spans="2:59" ht="18" customHeight="1">
      <c r="B305" s="80"/>
      <c r="D305" s="37"/>
      <c r="E305" s="44"/>
      <c r="F305" s="45"/>
      <c r="G305" s="45"/>
      <c r="H305" s="45"/>
      <c r="I305" s="45"/>
      <c r="J305" s="45"/>
      <c r="K305" s="45"/>
      <c r="L305" s="45"/>
      <c r="M305" s="45"/>
      <c r="N305" s="45"/>
      <c r="O305" s="45"/>
      <c r="P305" s="45"/>
      <c r="Q305" s="45"/>
      <c r="R305" s="45"/>
      <c r="S305" s="904"/>
      <c r="T305" s="51"/>
      <c r="U305" s="49"/>
      <c r="V305" s="46"/>
      <c r="W305" s="37"/>
      <c r="Y305" s="933"/>
      <c r="AA305" s="907">
        <f>IF(AG324=1,0,IF(AG324=2,0,IF(AC296=ZAVESY,IF(BD292=2,0,Ceny!$B$184),0)))</f>
        <v>0</v>
      </c>
      <c r="AB305" s="908"/>
      <c r="AC305" s="152"/>
      <c r="AD305" s="167" t="s">
        <v>1524</v>
      </c>
      <c r="AE305" s="168"/>
      <c r="AF305" s="87" t="b">
        <v>1</v>
      </c>
      <c r="AG305" s="1">
        <v>3</v>
      </c>
      <c r="AH305" s="1">
        <f>IF(AC296=ZAVESY,AG305,0)</f>
        <v>0</v>
      </c>
      <c r="AI305" s="191" t="e">
        <f>IF(AI296=1,$B$501,IF(AI296=2,$B$509,0))</f>
        <v>#REF!</v>
      </c>
      <c r="AJ305" s="195" t="str">
        <f>IF(AC296=AV_OST,AV_HKXS,"")</f>
        <v/>
      </c>
      <c r="AK305" s="196" t="str">
        <f t="shared" si="36"/>
        <v/>
      </c>
      <c r="AL305" s="1">
        <v>9</v>
      </c>
      <c r="AM305" s="1" t="str">
        <f>IF(AC297=HETTICH,BB303,IF(AC297=BLUM,BC303,""))</f>
        <v/>
      </c>
      <c r="AN305" s="1" t="str">
        <f t="shared" si="38"/>
        <v/>
      </c>
      <c r="AO305" s="1" t="str">
        <f t="shared" si="39"/>
        <v xml:space="preserve"> ()</v>
      </c>
      <c r="AP305" s="200">
        <v>0</v>
      </c>
      <c r="AQ305" s="196" t="str">
        <f t="shared" si="40"/>
        <v/>
      </c>
      <c r="AS305" s="203"/>
      <c r="AT305" s="196" t="str">
        <f t="shared" si="41"/>
        <v/>
      </c>
      <c r="BB305" s="48" t="e">
        <v>#REF!</v>
      </c>
      <c r="BC305" s="186" t="e">
        <v>#REF!</v>
      </c>
      <c r="BD305" s="48" t="e">
        <v>#REF!</v>
      </c>
      <c r="BE305" s="1" t="e">
        <f t="shared" si="37"/>
        <v>#REF!</v>
      </c>
      <c r="BF305" s="48" t="e">
        <v>#REF!</v>
      </c>
      <c r="BG305" s="48" t="e">
        <v>#REF!</v>
      </c>
    </row>
    <row r="306" spans="2:59" ht="18" customHeight="1" thickBot="1">
      <c r="B306" s="80"/>
      <c r="D306" s="37" t="b">
        <f>IF(AG324=2,IF(AC300=4,1,0))</f>
        <v>0</v>
      </c>
      <c r="E306" s="44"/>
      <c r="F306" s="45"/>
      <c r="G306" s="45"/>
      <c r="H306" s="45"/>
      <c r="I306" s="45"/>
      <c r="J306" s="45"/>
      <c r="K306" s="45"/>
      <c r="L306" s="45"/>
      <c r="M306" s="45"/>
      <c r="N306" s="45"/>
      <c r="O306" s="45"/>
      <c r="P306" s="45"/>
      <c r="Q306" s="45"/>
      <c r="R306" s="45"/>
      <c r="S306" s="51"/>
      <c r="T306" s="51"/>
      <c r="U306" s="49"/>
      <c r="V306" s="46"/>
      <c r="W306" s="37" t="b">
        <f>IF(AG324=1,IF(AC300=4,1,0))</f>
        <v>0</v>
      </c>
      <c r="Y306" s="943" t="str">
        <f>Ceny_n!$B$136</f>
        <v>Výška</v>
      </c>
      <c r="AA306" s="946">
        <f>IF(AC305=0,0,Ceny!$B$186)</f>
        <v>0</v>
      </c>
      <c r="AB306" s="947"/>
      <c r="AC306" s="153"/>
      <c r="AD306" s="167" t="s">
        <v>1198</v>
      </c>
      <c r="AE306" s="168"/>
      <c r="AG306" s="1">
        <v>4</v>
      </c>
      <c r="AH306" s="1">
        <f>IF(AC296=ZAVESY,AG306,0)</f>
        <v>0</v>
      </c>
      <c r="AI306" s="191" t="e">
        <f>IF(AI296=1,$B$502,IF(AI296=2,$B$510,0))</f>
        <v>#REF!</v>
      </c>
      <c r="AJ306" s="197" t="str">
        <f>IF(AC296=AV_OST,AV_HKXS_TIP,"")</f>
        <v/>
      </c>
      <c r="AK306" s="198" t="str">
        <f t="shared" si="36"/>
        <v/>
      </c>
      <c r="AL306" s="1">
        <v>10</v>
      </c>
      <c r="AM306" s="1" t="str">
        <f>IF(AC297=HETTICH,BB304,IF(AC297=BLUM,BC304,""))</f>
        <v/>
      </c>
      <c r="AN306" s="1" t="str">
        <f t="shared" si="38"/>
        <v/>
      </c>
      <c r="AO306" s="1" t="str">
        <f t="shared" si="39"/>
        <v xml:space="preserve"> ()</v>
      </c>
      <c r="AP306" s="200">
        <v>0</v>
      </c>
      <c r="AQ306" s="196" t="str">
        <f t="shared" si="40"/>
        <v/>
      </c>
      <c r="AS306" s="204"/>
      <c r="AT306" s="198" t="str">
        <f t="shared" si="41"/>
        <v/>
      </c>
      <c r="BB306" s="48" t="e">
        <v>#REF!</v>
      </c>
      <c r="BC306" s="186" t="e">
        <v>#REF!</v>
      </c>
      <c r="BD306" s="48" t="e">
        <v>#REF!</v>
      </c>
      <c r="BE306" s="1" t="e">
        <f t="shared" si="37"/>
        <v>#REF!</v>
      </c>
      <c r="BF306" s="48" t="e">
        <v>#REF!</v>
      </c>
      <c r="BG306" s="48" t="e">
        <v>#REF!</v>
      </c>
    </row>
    <row r="307" spans="2:59" ht="1.5" customHeight="1">
      <c r="B307" s="80"/>
      <c r="D307" s="37"/>
      <c r="E307" s="44"/>
      <c r="F307" s="45"/>
      <c r="G307" s="45"/>
      <c r="H307" s="45"/>
      <c r="I307" s="45"/>
      <c r="J307" s="45"/>
      <c r="K307" s="45"/>
      <c r="L307" s="45"/>
      <c r="M307" s="45"/>
      <c r="N307" s="45"/>
      <c r="O307" s="45"/>
      <c r="P307" s="45"/>
      <c r="Q307" s="45"/>
      <c r="R307" s="45"/>
      <c r="S307" s="51"/>
      <c r="T307" s="51"/>
      <c r="U307" s="49"/>
      <c r="V307" s="46"/>
      <c r="W307" s="37"/>
      <c r="Y307" s="943"/>
      <c r="AA307" s="998"/>
      <c r="AB307" s="921" t="str">
        <f>Ceny_n!$B$185</f>
        <v>Dodat včetně uvedeného kování</v>
      </c>
      <c r="AC307" s="922"/>
      <c r="AD307" s="222"/>
      <c r="AE307" s="173"/>
      <c r="AG307" s="1">
        <v>5</v>
      </c>
      <c r="AH307" s="1">
        <f>IF(AC296=ZAVESY,AG307,0)</f>
        <v>0</v>
      </c>
      <c r="AI307" s="48" t="e">
        <f>IF(AI296=1,$B$503,IF(AI296=2,$B$511,0))</f>
        <v>#REF!</v>
      </c>
      <c r="AK307" s="1" t="str">
        <f t="shared" si="36"/>
        <v/>
      </c>
      <c r="AL307" s="1">
        <v>11</v>
      </c>
      <c r="AM307" s="1">
        <f>IF(AC297=HETTICH,BB305,IF(AC297=BLUM,BC305,))</f>
        <v>0</v>
      </c>
      <c r="AN307" s="1" t="str">
        <f t="shared" si="38"/>
        <v/>
      </c>
      <c r="AO307" s="1" t="str">
        <f t="shared" si="39"/>
        <v xml:space="preserve"> (0)</v>
      </c>
      <c r="AP307" s="200">
        <v>0</v>
      </c>
      <c r="AQ307" s="196" t="str">
        <f t="shared" si="40"/>
        <v/>
      </c>
      <c r="BB307" s="48" t="e">
        <v>#REF!</v>
      </c>
      <c r="BC307" s="186" t="e">
        <v>#REF!</v>
      </c>
      <c r="BD307" s="48" t="e">
        <v>#REF!</v>
      </c>
      <c r="BE307" s="1" t="e">
        <f t="shared" si="37"/>
        <v>#REF!</v>
      </c>
      <c r="BF307" s="48" t="e">
        <v>#REF!</v>
      </c>
      <c r="BG307" s="48" t="e">
        <v>#REF!</v>
      </c>
    </row>
    <row r="308" spans="2:59" ht="15.75">
      <c r="B308" s="80"/>
      <c r="D308" s="37"/>
      <c r="E308" s="44"/>
      <c r="F308" s="45"/>
      <c r="G308" s="45"/>
      <c r="H308" s="45"/>
      <c r="I308" s="45"/>
      <c r="J308" s="45"/>
      <c r="K308" s="45"/>
      <c r="L308" s="45"/>
      <c r="M308" s="45"/>
      <c r="N308" s="45"/>
      <c r="O308" s="45"/>
      <c r="P308" s="45"/>
      <c r="Q308" s="45"/>
      <c r="R308" s="45"/>
      <c r="S308" s="45"/>
      <c r="T308" s="45"/>
      <c r="U308" s="45"/>
      <c r="V308" s="46"/>
      <c r="W308" s="37"/>
      <c r="Y308" s="943"/>
      <c r="AA308" s="999"/>
      <c r="AB308" s="923"/>
      <c r="AC308" s="924"/>
      <c r="AD308" s="222"/>
      <c r="AE308" s="173"/>
      <c r="AI308" s="48" t="e">
        <f>IF(AI296=1,$B$504,IF(AI296=2,$B$513,0))</f>
        <v>#REF!</v>
      </c>
      <c r="AL308" s="1">
        <v>12</v>
      </c>
      <c r="AM308" s="1" t="str">
        <f>IF(AC297=HETTICH,BB306,IF(AC297=BLUM,BC306,""))</f>
        <v/>
      </c>
      <c r="AN308" s="1" t="str">
        <f t="shared" si="38"/>
        <v/>
      </c>
      <c r="AO308" s="1" t="str">
        <f t="shared" si="39"/>
        <v xml:space="preserve"> ()</v>
      </c>
      <c r="AP308" s="200">
        <v>0</v>
      </c>
      <c r="AQ308" s="196" t="str">
        <f t="shared" si="40"/>
        <v/>
      </c>
      <c r="BB308" s="48" t="e">
        <v>#REF!</v>
      </c>
      <c r="BC308" s="186" t="e">
        <v>#REF!</v>
      </c>
      <c r="BD308" s="48" t="e">
        <v>#REF!</v>
      </c>
      <c r="BE308" s="1" t="e">
        <f t="shared" si="37"/>
        <v>#REF!</v>
      </c>
      <c r="BF308" s="48" t="e">
        <v>#REF!</v>
      </c>
      <c r="BG308" s="48" t="e">
        <v>#REF!</v>
      </c>
    </row>
    <row r="309" spans="2:59" ht="2.25" customHeight="1" thickBot="1">
      <c r="B309" s="80"/>
      <c r="D309" s="37"/>
      <c r="E309" s="44"/>
      <c r="F309" s="45"/>
      <c r="G309" s="45"/>
      <c r="H309" s="45"/>
      <c r="I309" s="45"/>
      <c r="J309" s="45"/>
      <c r="K309" s="45"/>
      <c r="L309" s="45"/>
      <c r="M309" s="45"/>
      <c r="N309" s="45"/>
      <c r="O309" s="45"/>
      <c r="P309" s="45"/>
      <c r="Q309" s="45"/>
      <c r="R309" s="45"/>
      <c r="S309" s="45"/>
      <c r="T309" s="45"/>
      <c r="U309" s="939"/>
      <c r="V309" s="46"/>
      <c r="W309" s="37"/>
      <c r="Y309" s="943"/>
      <c r="AA309" s="999"/>
      <c r="AB309" s="923"/>
      <c r="AC309" s="924"/>
      <c r="AD309" s="222"/>
      <c r="AE309" s="173"/>
      <c r="AI309" s="52" t="e">
        <f>IF(AI296=1,$B$506,0)</f>
        <v>#REF!</v>
      </c>
      <c r="AL309" s="1">
        <v>13</v>
      </c>
      <c r="AM309" s="180"/>
      <c r="AN309" s="1" t="str">
        <f t="shared" si="38"/>
        <v/>
      </c>
      <c r="AO309" s="1" t="str">
        <f t="shared" si="39"/>
        <v xml:space="preserve"> ()</v>
      </c>
      <c r="AP309" s="200">
        <v>0</v>
      </c>
      <c r="AQ309" s="196" t="str">
        <f t="shared" si="40"/>
        <v/>
      </c>
      <c r="BB309" s="48" t="e">
        <v>#REF!</v>
      </c>
      <c r="BC309" s="186" t="e">
        <v>#REF!</v>
      </c>
      <c r="BD309" s="48" t="e">
        <v>#REF!</v>
      </c>
      <c r="BE309" s="1" t="e">
        <f t="shared" si="37"/>
        <v>#REF!</v>
      </c>
      <c r="BF309" s="48" t="e">
        <v>#REF!</v>
      </c>
      <c r="BG309" s="48" t="e">
        <v>#REF!</v>
      </c>
    </row>
    <row r="310" spans="2:59" ht="12.75" customHeight="1">
      <c r="B310" s="80"/>
      <c r="D310" s="37"/>
      <c r="E310" s="44"/>
      <c r="F310" s="45"/>
      <c r="G310" s="45"/>
      <c r="H310" s="45"/>
      <c r="I310" s="45"/>
      <c r="J310" s="45"/>
      <c r="K310" s="45"/>
      <c r="L310" s="45"/>
      <c r="M310" s="45"/>
      <c r="N310" s="45"/>
      <c r="O310" s="45"/>
      <c r="P310" s="45"/>
      <c r="Q310" s="45"/>
      <c r="R310" s="45"/>
      <c r="S310" s="45"/>
      <c r="T310" s="45"/>
      <c r="U310" s="940"/>
      <c r="V310" s="46"/>
      <c r="W310" s="37"/>
      <c r="Y310" s="943"/>
      <c r="AA310" s="1000"/>
      <c r="AB310" s="925"/>
      <c r="AC310" s="926"/>
      <c r="AD310" s="222"/>
      <c r="AE310" s="173"/>
      <c r="AI310" s="47" t="e">
        <f>IF(AI296=2,$B$520,0)</f>
        <v>#REF!</v>
      </c>
      <c r="AL310" s="1">
        <v>14</v>
      </c>
      <c r="AN310" s="1" t="str">
        <f t="shared" si="38"/>
        <v/>
      </c>
      <c r="AO310" s="1" t="str">
        <f t="shared" si="39"/>
        <v xml:space="preserve"> ()</v>
      </c>
      <c r="AP310" s="200">
        <v>0</v>
      </c>
      <c r="AQ310" s="196" t="str">
        <f t="shared" si="40"/>
        <v/>
      </c>
      <c r="BB310" s="48" t="e">
        <v>#REF!</v>
      </c>
      <c r="BC310" s="186" t="e">
        <v>#REF!</v>
      </c>
      <c r="BD310" s="48" t="e">
        <v>#REF!</v>
      </c>
      <c r="BE310" s="1" t="e">
        <f t="shared" si="37"/>
        <v>#REF!</v>
      </c>
      <c r="BF310" s="48" t="e">
        <v>#REF!</v>
      </c>
      <c r="BG310" s="48" t="e">
        <v>#REF!</v>
      </c>
    </row>
    <row r="311" spans="2:59" ht="27" thickBot="1">
      <c r="B311" s="80"/>
      <c r="D311" s="37"/>
      <c r="E311" s="44"/>
      <c r="F311" s="45"/>
      <c r="G311" s="45"/>
      <c r="H311" s="45"/>
      <c r="I311" s="45"/>
      <c r="J311" s="45"/>
      <c r="K311" s="45"/>
      <c r="L311" s="45"/>
      <c r="M311" s="45"/>
      <c r="N311" s="45"/>
      <c r="O311" s="45"/>
      <c r="P311" s="45"/>
      <c r="Q311" s="45"/>
      <c r="R311" s="32" t="s">
        <v>15</v>
      </c>
      <c r="S311" s="45"/>
      <c r="T311" s="45"/>
      <c r="U311" s="45"/>
      <c r="V311" s="46"/>
      <c r="W311" s="37"/>
      <c r="Y311" s="943"/>
      <c r="AC311" s="76"/>
      <c r="AI311" s="48" t="e">
        <f>IF(AI296=2,$B$521,0)</f>
        <v>#REF!</v>
      </c>
      <c r="AL311" s="1">
        <v>15</v>
      </c>
      <c r="AN311" s="1" t="str">
        <f t="shared" si="38"/>
        <v/>
      </c>
      <c r="AO311" s="1" t="str">
        <f t="shared" si="39"/>
        <v xml:space="preserve"> ()</v>
      </c>
      <c r="AP311" s="200">
        <v>0</v>
      </c>
      <c r="AQ311" s="196" t="str">
        <f t="shared" si="40"/>
        <v/>
      </c>
      <c r="BB311" s="48" t="e">
        <v>#REF!</v>
      </c>
      <c r="BC311" s="186" t="e">
        <v>#REF!</v>
      </c>
      <c r="BD311" s="48" t="e">
        <v>#REF!</v>
      </c>
      <c r="BE311" s="1" t="e">
        <f t="shared" si="37"/>
        <v>#REF!</v>
      </c>
      <c r="BF311" s="52" t="e">
        <v>#REF!</v>
      </c>
      <c r="BG311" s="52" t="e">
        <v>#REF!</v>
      </c>
    </row>
    <row r="312" spans="2:59" ht="5.25" customHeight="1" thickBot="1">
      <c r="B312" s="80"/>
      <c r="D312" s="37"/>
      <c r="E312" s="44"/>
      <c r="F312" s="45"/>
      <c r="G312" s="45"/>
      <c r="H312" s="45"/>
      <c r="I312" s="45"/>
      <c r="J312" s="45"/>
      <c r="K312" s="45"/>
      <c r="L312" s="45"/>
      <c r="M312" s="45"/>
      <c r="N312" s="45"/>
      <c r="O312" s="45"/>
      <c r="P312" s="45"/>
      <c r="Q312" s="45"/>
      <c r="R312" s="32"/>
      <c r="S312" s="45"/>
      <c r="T312" s="45"/>
      <c r="U312" s="45"/>
      <c r="V312" s="46"/>
      <c r="W312" s="37"/>
      <c r="Y312" s="943"/>
      <c r="AA312" s="85"/>
      <c r="AC312" s="76"/>
      <c r="AI312" s="48" t="e">
        <f>IF(AI296=2,$B$522,0)</f>
        <v>#REF!</v>
      </c>
      <c r="AL312" s="1">
        <v>16</v>
      </c>
      <c r="AO312" s="1" t="str">
        <f t="shared" si="39"/>
        <v xml:space="preserve"> ()</v>
      </c>
      <c r="AP312" s="200">
        <v>0</v>
      </c>
      <c r="AQ312" s="196" t="str">
        <f t="shared" si="40"/>
        <v/>
      </c>
      <c r="BB312" s="52" t="e">
        <v>#REF!</v>
      </c>
      <c r="BC312" s="187" t="e">
        <v>#REF!</v>
      </c>
      <c r="BD312" s="48" t="e">
        <v>#REF!</v>
      </c>
      <c r="BE312" s="1" t="e">
        <f t="shared" si="37"/>
        <v>#REF!</v>
      </c>
    </row>
    <row r="313" spans="2:59" ht="8.25" customHeight="1" thickBot="1">
      <c r="B313" s="80"/>
      <c r="D313" s="898">
        <f>IF(AG324=2,1,0)</f>
        <v>0</v>
      </c>
      <c r="E313" s="44"/>
      <c r="F313" s="45"/>
      <c r="G313" s="45"/>
      <c r="H313" s="45"/>
      <c r="I313" s="45"/>
      <c r="J313" s="45"/>
      <c r="K313" s="45"/>
      <c r="L313" s="45"/>
      <c r="M313" s="45"/>
      <c r="N313" s="45"/>
      <c r="O313" s="45"/>
      <c r="P313" s="45"/>
      <c r="Q313" s="45"/>
      <c r="R313" s="32"/>
      <c r="S313" s="45"/>
      <c r="T313" s="45"/>
      <c r="U313" s="45"/>
      <c r="V313" s="46"/>
      <c r="W313" s="898">
        <f>IF(AG324=1,1,0)</f>
        <v>0</v>
      </c>
      <c r="Y313" s="53"/>
      <c r="AC313" s="76"/>
      <c r="AI313" s="52" t="e">
        <f>IF(AI296=2,$B$523,0)</f>
        <v>#REF!</v>
      </c>
      <c r="AL313" s="1">
        <v>17</v>
      </c>
      <c r="AO313" s="1" t="str">
        <f t="shared" si="39"/>
        <v xml:space="preserve"> ()</v>
      </c>
      <c r="AP313" s="200">
        <v>0</v>
      </c>
      <c r="AQ313" s="196" t="str">
        <f t="shared" si="40"/>
        <v/>
      </c>
      <c r="BC313"/>
      <c r="BD313" s="48" t="e">
        <v>#REF!</v>
      </c>
      <c r="BE313" s="1" t="e">
        <f t="shared" si="37"/>
        <v>#REF!</v>
      </c>
    </row>
    <row r="314" spans="2:59" ht="18" customHeight="1">
      <c r="B314" s="80"/>
      <c r="D314" s="898" t="e">
        <f>IF(#REF!=$Y$41,1,0)</f>
        <v>#REF!</v>
      </c>
      <c r="E314" s="44"/>
      <c r="F314" s="45"/>
      <c r="G314" s="108"/>
      <c r="H314" s="45"/>
      <c r="I314" s="36"/>
      <c r="J314" s="36"/>
      <c r="K314" s="36"/>
      <c r="L314" s="899"/>
      <c r="M314" s="900"/>
      <c r="N314" s="901"/>
      <c r="O314" s="45"/>
      <c r="P314" s="45"/>
      <c r="Q314" s="45"/>
      <c r="R314" s="32"/>
      <c r="S314" s="986"/>
      <c r="T314" s="54"/>
      <c r="U314" s="45"/>
      <c r="V314" s="33"/>
      <c r="W314" s="898" t="e">
        <f>IF(#REF!=$Y$41,1,0)</f>
        <v>#REF!</v>
      </c>
      <c r="Y314" s="55"/>
      <c r="AA314" s="870" t="str">
        <f>IF(OR(Y298&gt;2500,L322&gt;2500),MAX_ROZ_RAM,"")</f>
        <v/>
      </c>
      <c r="AB314" s="870"/>
      <c r="AC314" s="871"/>
      <c r="AI314" s="47" t="e">
        <f>IF(AI296=1,$B$530,IF(AI296=2,$B$531,0))</f>
        <v>#REF!</v>
      </c>
      <c r="AL314" s="1">
        <v>18</v>
      </c>
      <c r="AO314" s="1" t="str">
        <f t="shared" si="39"/>
        <v xml:space="preserve"> ()</v>
      </c>
      <c r="AP314" s="200">
        <v>0</v>
      </c>
      <c r="AQ314" s="196" t="str">
        <f t="shared" si="40"/>
        <v/>
      </c>
      <c r="BC314"/>
      <c r="BD314" s="48" t="e">
        <v>#REF!</v>
      </c>
      <c r="BE314" s="1" t="e">
        <f t="shared" si="37"/>
        <v>#REF!</v>
      </c>
    </row>
    <row r="315" spans="2:59" ht="6" customHeight="1">
      <c r="B315" s="80"/>
      <c r="D315" s="902" t="str">
        <f>IF(D313=1,AC301,"")</f>
        <v/>
      </c>
      <c r="E315" s="44"/>
      <c r="F315" s="45"/>
      <c r="G315" s="56"/>
      <c r="H315" s="45"/>
      <c r="I315" s="36"/>
      <c r="J315" s="36"/>
      <c r="K315" s="36"/>
      <c r="L315" s="36"/>
      <c r="M315" s="56"/>
      <c r="N315" s="56"/>
      <c r="O315" s="45"/>
      <c r="P315" s="45"/>
      <c r="Q315" s="45"/>
      <c r="R315" s="32"/>
      <c r="S315" s="987"/>
      <c r="T315" s="54"/>
      <c r="U315" s="45"/>
      <c r="V315" s="33"/>
      <c r="W315" s="902" t="str">
        <f>IF(W313=1,AC301,"")</f>
        <v/>
      </c>
      <c r="Y315" s="55"/>
      <c r="AA315" s="870"/>
      <c r="AB315" s="870"/>
      <c r="AC315" s="871"/>
      <c r="AG315" s="1">
        <f>IF(AC306=$J$369,1,IF(AC306=$J$370,1,IF(AC306=$J$371,2,0)))</f>
        <v>0</v>
      </c>
      <c r="AI315" s="48" t="e">
        <f>IF(AI296=2,$B$532,0)</f>
        <v>#REF!</v>
      </c>
      <c r="AL315" s="1">
        <v>19</v>
      </c>
      <c r="AO315" s="1" t="str">
        <f t="shared" si="39"/>
        <v xml:space="preserve"> ()</v>
      </c>
      <c r="AP315" s="200">
        <v>0</v>
      </c>
      <c r="AQ315" s="196" t="str">
        <f t="shared" si="40"/>
        <v/>
      </c>
      <c r="BC315"/>
      <c r="BD315" s="48" t="e">
        <v>#REF!</v>
      </c>
      <c r="BE315" s="1" t="e">
        <f t="shared" si="37"/>
        <v>#REF!</v>
      </c>
    </row>
    <row r="316" spans="2:59" ht="22.5" customHeight="1">
      <c r="B316" s="80"/>
      <c r="D316" s="902"/>
      <c r="E316" s="44"/>
      <c r="F316" s="45"/>
      <c r="G316" s="45"/>
      <c r="H316" s="45"/>
      <c r="I316" s="32" t="s">
        <v>15</v>
      </c>
      <c r="J316" s="36"/>
      <c r="K316" s="36"/>
      <c r="L316" s="36"/>
      <c r="M316" s="36"/>
      <c r="N316" s="36"/>
      <c r="O316" s="45"/>
      <c r="P316" s="32" t="s">
        <v>15</v>
      </c>
      <c r="Q316" s="36"/>
      <c r="R316" s="32"/>
      <c r="S316" s="988"/>
      <c r="T316" s="54"/>
      <c r="U316" s="32"/>
      <c r="V316" s="46"/>
      <c r="W316" s="902"/>
      <c r="Y316" s="55"/>
      <c r="AA316" s="870"/>
      <c r="AB316" s="870"/>
      <c r="AC316" s="871"/>
      <c r="AG316" s="1">
        <f>IF(AC305=0,0,VPRAVO)</f>
        <v>0</v>
      </c>
      <c r="AI316" s="48" t="e">
        <f>IF(AI296=2,$B$533,0)</f>
        <v>#REF!</v>
      </c>
      <c r="AL316" s="1">
        <v>20</v>
      </c>
      <c r="AO316" s="1" t="str">
        <f t="shared" si="39"/>
        <v xml:space="preserve"> ()</v>
      </c>
      <c r="AP316" s="200">
        <v>0</v>
      </c>
      <c r="AQ316" s="196" t="str">
        <f t="shared" si="40"/>
        <v/>
      </c>
      <c r="BC316"/>
      <c r="BD316" s="48" t="e">
        <v>#REF!</v>
      </c>
      <c r="BE316" s="1" t="e">
        <f t="shared" si="37"/>
        <v>#REF!</v>
      </c>
    </row>
    <row r="317" spans="2:59" ht="27" thickBot="1">
      <c r="B317" s="80"/>
      <c r="D317" s="902"/>
      <c r="E317" s="44"/>
      <c r="F317" s="45"/>
      <c r="G317" s="45"/>
      <c r="H317" s="45"/>
      <c r="I317" s="36"/>
      <c r="J317" s="903"/>
      <c r="K317" s="36"/>
      <c r="L317" s="36"/>
      <c r="M317" s="36"/>
      <c r="N317" s="36"/>
      <c r="O317" s="45"/>
      <c r="P317" s="36"/>
      <c r="Q317" s="36"/>
      <c r="R317" s="45"/>
      <c r="S317" s="57"/>
      <c r="T317" s="57"/>
      <c r="U317" s="49"/>
      <c r="V317" s="46"/>
      <c r="W317" s="902"/>
      <c r="AA317" s="870" t="str">
        <f>IF(AC301=0,"",IF(AND(OR(AC293="Palio (elox.)",AC293="Siena (elox.)"),AC301&lt;80),MIN_POZ_ZAVES_80,IF(AC301&lt;70,MIN_POZ_ZAVES,"")))</f>
        <v/>
      </c>
      <c r="AB317" s="870"/>
      <c r="AC317" s="871"/>
      <c r="AG317" s="1">
        <f>IF(AC305=0,0,VLEVO)</f>
        <v>0</v>
      </c>
      <c r="AI317" s="52" t="e">
        <f>IF(AI296=2,$B$534,0)</f>
        <v>#REF!</v>
      </c>
      <c r="AL317" s="1">
        <v>21</v>
      </c>
      <c r="AO317" s="1" t="str">
        <f t="shared" si="39"/>
        <v xml:space="preserve"> ()</v>
      </c>
      <c r="AP317" s="200">
        <v>0</v>
      </c>
      <c r="AQ317" s="196" t="str">
        <f t="shared" si="40"/>
        <v/>
      </c>
      <c r="BC317"/>
      <c r="BD317" s="48" t="e">
        <v>#REF!</v>
      </c>
      <c r="BE317" s="1" t="e">
        <f t="shared" si="37"/>
        <v>#REF!</v>
      </c>
    </row>
    <row r="318" spans="2:59" ht="26.25">
      <c r="B318" s="80"/>
      <c r="D318" s="902"/>
      <c r="E318" s="44"/>
      <c r="F318" s="45"/>
      <c r="G318" s="45"/>
      <c r="H318" s="45"/>
      <c r="I318" s="36"/>
      <c r="J318" s="904"/>
      <c r="K318" s="36"/>
      <c r="L318" s="36"/>
      <c r="M318" s="36"/>
      <c r="N318" s="36"/>
      <c r="O318" s="45"/>
      <c r="P318" s="36"/>
      <c r="Q318" s="36"/>
      <c r="R318" s="45"/>
      <c r="S318" s="58"/>
      <c r="T318" s="58"/>
      <c r="U318" s="49"/>
      <c r="V318" s="46"/>
      <c r="W318" s="902"/>
      <c r="AC318" s="76"/>
      <c r="AG318" s="1">
        <f>IF(AC305=0,0,OBE_STRANY)</f>
        <v>0</v>
      </c>
      <c r="AJ318" s="1">
        <f>IF(AC305=0,0,VLOOKUP(AC305,AI319:AJ332,2,0))</f>
        <v>0</v>
      </c>
      <c r="AL318" s="1">
        <v>22</v>
      </c>
      <c r="AO318" s="1" t="str">
        <f t="shared" si="39"/>
        <v xml:space="preserve"> ()</v>
      </c>
      <c r="AP318" s="200">
        <v>0</v>
      </c>
      <c r="AQ318" s="196" t="str">
        <f t="shared" si="40"/>
        <v/>
      </c>
      <c r="BD318" s="48" t="e">
        <v>#REF!</v>
      </c>
      <c r="BE318" s="1" t="e">
        <f t="shared" si="37"/>
        <v>#REF!</v>
      </c>
    </row>
    <row r="319" spans="2:59" ht="15.75" customHeight="1" thickBot="1">
      <c r="B319" s="80"/>
      <c r="D319" s="902"/>
      <c r="E319" s="59"/>
      <c r="F319" s="60"/>
      <c r="G319" s="60"/>
      <c r="H319" s="60"/>
      <c r="I319" s="35"/>
      <c r="J319" s="35"/>
      <c r="K319" s="35"/>
      <c r="L319" s="35"/>
      <c r="M319" s="35"/>
      <c r="N319" s="35"/>
      <c r="O319" s="60"/>
      <c r="P319" s="35"/>
      <c r="Q319" s="35"/>
      <c r="R319" s="60"/>
      <c r="S319" s="60"/>
      <c r="T319" s="60"/>
      <c r="U319" s="60"/>
      <c r="V319" s="61"/>
      <c r="W319" s="902"/>
      <c r="AC319" s="76"/>
      <c r="AH319" s="1">
        <f>IF(AA305=Ceny_n!$B$184,IF(AI296=1,Ceny!$F$919,IF(AI296=2,Ceny!$G$919,0)),0)</f>
        <v>0</v>
      </c>
      <c r="AI319" s="1">
        <f>IF(AG324=3,AH319,AH338)</f>
        <v>0</v>
      </c>
      <c r="AJ319" s="1">
        <f>IF(AC296=ZAVESY,Ceny!$E$948,0)</f>
        <v>0</v>
      </c>
      <c r="AL319" s="1">
        <v>22</v>
      </c>
      <c r="AO319" s="1" t="str">
        <f t="shared" si="39"/>
        <v xml:space="preserve"> ()</v>
      </c>
      <c r="AP319" s="200">
        <v>0</v>
      </c>
      <c r="AQ319" s="196" t="str">
        <f t="shared" si="40"/>
        <v/>
      </c>
      <c r="AS319" s="1" t="e">
        <f>VLOOKUP(AL319,Ceny!$B$963:$E$970,4,0)</f>
        <v>#N/A</v>
      </c>
      <c r="AY319" s="1" t="e">
        <f t="shared" ref="AY319:AY333" si="42">AJ319+AS319+AT319+AU319+AW319</f>
        <v>#N/A</v>
      </c>
      <c r="BD319" s="48" t="e">
        <v>#REF!</v>
      </c>
      <c r="BE319" s="1" t="e">
        <f t="shared" si="37"/>
        <v>#REF!</v>
      </c>
    </row>
    <row r="320" spans="2:59" ht="19.5" thickBot="1">
      <c r="B320" s="80"/>
      <c r="D320" s="905" t="str">
        <f>IF(H320=1,AC301,"")</f>
        <v/>
      </c>
      <c r="E320" s="906"/>
      <c r="F320" s="906"/>
      <c r="G320" s="906"/>
      <c r="H320" s="39">
        <f>IF(AG324=4,1,0)</f>
        <v>0</v>
      </c>
      <c r="I320" s="39"/>
      <c r="J320" s="39"/>
      <c r="K320" s="39" t="b">
        <f>IF(AG324=4,IF(AC300=4,1,0))</f>
        <v>0</v>
      </c>
      <c r="L320" s="39"/>
      <c r="M320" s="39" t="b">
        <f>IF(AG324=4,IF(AC300=3,1,0))</f>
        <v>0</v>
      </c>
      <c r="N320" s="39"/>
      <c r="O320" s="39" t="b">
        <f>IF(AG324=4,IF(AC300=4,1,0))</f>
        <v>0</v>
      </c>
      <c r="P320" s="39"/>
      <c r="Q320" s="39"/>
      <c r="R320" s="39">
        <f>IF(AG324=4,1,0)</f>
        <v>0</v>
      </c>
      <c r="S320" s="929" t="str">
        <f>IF(R320=1,AC301,"")</f>
        <v/>
      </c>
      <c r="T320" s="929"/>
      <c r="U320" s="929"/>
      <c r="V320" s="929"/>
      <c r="W320" s="930"/>
      <c r="Y320" s="40"/>
      <c r="Z320" s="157" t="str">
        <f>IF(OR(AC293=Ceny_n!$B$18,AC293=Ceny_n!$B$19,AC293=Ceny_n!$B$20),Ceny!$B$498,"")</f>
        <v/>
      </c>
      <c r="AC320" s="76"/>
      <c r="AG320" s="1">
        <f>IF(AC296=ZAVESY,VPRAVO,0)</f>
        <v>0</v>
      </c>
      <c r="AH320" s="1">
        <f>IF(AA305=Ceny_n!$B$184,IF(AI296=1,Ceny!$F$920,IF(AI296=2,Ceny!$G$920,0)),0)</f>
        <v>0</v>
      </c>
      <c r="AI320" s="1">
        <f>IF(AG324=3,AH320,AH339)</f>
        <v>0</v>
      </c>
      <c r="AJ320" s="1">
        <f>IF(AC296=ZAVESY,Ceny!$E$949,0)</f>
        <v>0</v>
      </c>
      <c r="AL320" s="1">
        <v>22</v>
      </c>
      <c r="AO320" s="1" t="str">
        <f t="shared" si="39"/>
        <v xml:space="preserve"> ()</v>
      </c>
      <c r="AP320" s="200">
        <v>0</v>
      </c>
      <c r="AQ320" s="196" t="str">
        <f t="shared" si="40"/>
        <v/>
      </c>
      <c r="AS320" s="1" t="e">
        <f>VLOOKUP(AL320,Ceny!$B$963:$E$970,4,0)</f>
        <v>#N/A</v>
      </c>
      <c r="AY320" s="1" t="e">
        <f t="shared" si="42"/>
        <v>#N/A</v>
      </c>
      <c r="BD320" s="48" t="e">
        <v>#REF!</v>
      </c>
      <c r="BE320" s="1" t="e">
        <f t="shared" si="37"/>
        <v>#REF!</v>
      </c>
    </row>
    <row r="321" spans="2:57" ht="6" customHeight="1">
      <c r="B321" s="80"/>
      <c r="AC321" s="76"/>
      <c r="AG321" s="1">
        <f>IF(AC296=ZAVESY,VLEVO,0)</f>
        <v>0</v>
      </c>
      <c r="AH321" s="1">
        <f>IF(AA305=Ceny_n!$B$184,IF(AI296=1,Ceny!$F$921,IF(AI296=2,Ceny!$G$921,0)),0)</f>
        <v>0</v>
      </c>
      <c r="AI321" s="1">
        <f>IF(AG324=3,AH321,AH340)</f>
        <v>0</v>
      </c>
      <c r="AJ321" s="1">
        <f>IF(AC296=ZAVESY,Ceny!$E$950,0)</f>
        <v>0</v>
      </c>
      <c r="AL321" s="1">
        <v>22</v>
      </c>
      <c r="AO321" s="1" t="str">
        <f t="shared" si="39"/>
        <v xml:space="preserve"> ()</v>
      </c>
      <c r="AP321" s="200">
        <v>0</v>
      </c>
      <c r="AQ321" s="196" t="str">
        <f t="shared" si="40"/>
        <v/>
      </c>
      <c r="AS321" s="1" t="e">
        <f>VLOOKUP(AL321,Ceny!$B$963:$E$970,4,0)</f>
        <v>#N/A</v>
      </c>
      <c r="AY321" s="1" t="e">
        <f t="shared" si="42"/>
        <v>#N/A</v>
      </c>
      <c r="BD321" s="48" t="e">
        <v>#REF!</v>
      </c>
      <c r="BE321" s="1" t="e">
        <f t="shared" si="37"/>
        <v>#REF!</v>
      </c>
    </row>
    <row r="322" spans="2:57" ht="20.25" customHeight="1" thickBot="1">
      <c r="B322" s="80"/>
      <c r="D322" s="40"/>
      <c r="E322" s="40"/>
      <c r="F322" s="40"/>
      <c r="G322" s="40"/>
      <c r="I322" s="884" t="str">
        <f>Ceny_n!$B$135</f>
        <v xml:space="preserve">Šířka </v>
      </c>
      <c r="J322" s="885"/>
      <c r="K322" s="885"/>
      <c r="L322" s="886">
        <v>600</v>
      </c>
      <c r="M322" s="886"/>
      <c r="N322" s="886"/>
      <c r="O322" s="886"/>
      <c r="P322" s="886"/>
      <c r="Q322" s="887"/>
      <c r="R322" s="40"/>
      <c r="S322" s="40"/>
      <c r="T322" s="40"/>
      <c r="U322" s="40"/>
      <c r="V322" s="40"/>
      <c r="W322" s="40"/>
      <c r="Z322" s="157" t="str">
        <f>IF(L322&gt;1500,Ceny!$B$290,IF(Y298&gt;1500,Ceny!$B$290,""))</f>
        <v/>
      </c>
      <c r="AC322" s="76"/>
      <c r="AG322" s="1">
        <f>IF(AC296=ZAVESY,NAHORE,0)</f>
        <v>0</v>
      </c>
      <c r="AH322" s="1">
        <f>IF(AA305=Ceny_n!$B$184,IF(AI296=1,Ceny!$F$922,IF(AI296=2,Ceny!$G$922,0)),0)</f>
        <v>0</v>
      </c>
      <c r="AI322" s="1">
        <f>IF(AG324=3,AH322,AH341)</f>
        <v>0</v>
      </c>
      <c r="AJ322" s="1">
        <f>IF(AC296=ZAVESY,Ceny!$E$951,0)</f>
        <v>0</v>
      </c>
      <c r="AL322" s="1">
        <v>22</v>
      </c>
      <c r="AO322" s="1" t="str">
        <f t="shared" si="39"/>
        <v xml:space="preserve"> ()</v>
      </c>
      <c r="AP322" s="201">
        <v>0</v>
      </c>
      <c r="AQ322" s="198" t="str">
        <f t="shared" si="40"/>
        <v/>
      </c>
      <c r="AS322" s="1" t="e">
        <f>VLOOKUP(AL322,Ceny!$B$963:$E$970,4,0)</f>
        <v>#N/A</v>
      </c>
      <c r="AY322" s="1" t="e">
        <f t="shared" si="42"/>
        <v>#N/A</v>
      </c>
      <c r="BD322" s="48" t="e">
        <v>#REF!</v>
      </c>
      <c r="BE322" s="1" t="e">
        <f t="shared" si="37"/>
        <v>#REF!</v>
      </c>
    </row>
    <row r="323" spans="2:57" ht="17.25" customHeight="1">
      <c r="B323" s="80"/>
      <c r="D323" s="40"/>
      <c r="E323" s="40"/>
      <c r="F323" s="40"/>
      <c r="G323" s="40"/>
      <c r="H323" s="62"/>
      <c r="I323" s="62"/>
      <c r="J323" s="62"/>
      <c r="K323" s="63"/>
      <c r="L323" s="63"/>
      <c r="M323" s="64"/>
      <c r="N323" s="64"/>
      <c r="O323" s="64"/>
      <c r="P323" s="64"/>
      <c r="Q323" s="64"/>
      <c r="R323" s="40"/>
      <c r="S323" s="40"/>
      <c r="T323" s="40"/>
      <c r="U323" s="40"/>
      <c r="V323" s="40"/>
      <c r="W323" s="40"/>
      <c r="Z323" s="888" t="str">
        <f>Ceny_n!$B$138</f>
        <v>Cena rámečků celkem</v>
      </c>
      <c r="AA323" s="889"/>
      <c r="AB323" s="889"/>
      <c r="AC323" s="919">
        <f>IF(AC293=$B$347,0,(AI293+AM293+AN293+AS293)-((AI293+AM293+AN293+AS293)*$AC$14))</f>
        <v>0</v>
      </c>
      <c r="AD323" s="223"/>
      <c r="AE323" s="174"/>
      <c r="AG323" s="1">
        <f>IF(AC296=ZAVESY,DOLE,0)</f>
        <v>0</v>
      </c>
      <c r="AH323" s="1">
        <f>IF(AA305=Ceny_n!$B$184,IF(AI296=1,Ceny!$F$923,IF(AI296=2,Ceny!$G$923,0)),0)</f>
        <v>0</v>
      </c>
      <c r="AI323" s="1">
        <f>IF(AG324=3,AH323,AH342)</f>
        <v>0</v>
      </c>
      <c r="AJ323" s="1">
        <f>IF(AC296=ZAVESY,Ceny!$E$952,0)</f>
        <v>0</v>
      </c>
      <c r="AL323" s="1" t="e">
        <f>IF(AI296=1,Ceny!$B$964,0)</f>
        <v>#REF!</v>
      </c>
      <c r="AM323" s="1">
        <v>0</v>
      </c>
      <c r="AN323" s="1">
        <v>0</v>
      </c>
      <c r="AP323" s="1">
        <v>0</v>
      </c>
      <c r="AS323" s="1" t="e">
        <f>VLOOKUP(AL323,Ceny!$B$963:$E$970,4,0)</f>
        <v>#REF!</v>
      </c>
      <c r="AY323" s="1" t="e">
        <f t="shared" si="42"/>
        <v>#REF!</v>
      </c>
      <c r="BD323" s="48" t="e">
        <v>#REF!</v>
      </c>
      <c r="BE323" s="1" t="e">
        <f t="shared" si="37"/>
        <v>#REF!</v>
      </c>
    </row>
    <row r="324" spans="2:57" ht="17.25" customHeight="1">
      <c r="B324" s="80"/>
      <c r="D324" s="40"/>
      <c r="E324" s="40"/>
      <c r="F324" s="40"/>
      <c r="G324" s="40"/>
      <c r="H324" s="62"/>
      <c r="I324" s="62"/>
      <c r="J324" s="62"/>
      <c r="K324" s="63"/>
      <c r="L324" s="63"/>
      <c r="M324" s="64"/>
      <c r="N324" s="64"/>
      <c r="O324" s="64"/>
      <c r="P324" s="64"/>
      <c r="Q324" s="64"/>
      <c r="R324" s="40"/>
      <c r="S324" s="40"/>
      <c r="T324" s="40"/>
      <c r="U324" s="40"/>
      <c r="V324" s="40"/>
      <c r="W324" s="40"/>
      <c r="Z324" s="890"/>
      <c r="AA324" s="891"/>
      <c r="AB324" s="891"/>
      <c r="AC324" s="920"/>
      <c r="AD324" s="223"/>
      <c r="AE324" s="174"/>
      <c r="AG324" s="1">
        <f>IF(AC304=VPRAVO,1,IF('Běžné rámečky'!AC304=VLEVO,2,IF('Běžné rámečky'!AC304=NAHORE,3,IF('Běžné rámečky'!AC304=DOLE,4,0))))</f>
        <v>0</v>
      </c>
      <c r="AH324" s="1">
        <f>IF(AA305=Ceny_n!$B$184,IF(AI296=1,Ceny!$F$924,IF(AI296=2,Ceny!$G$924,0)),0)</f>
        <v>0</v>
      </c>
      <c r="AI324" s="1" t="e">
        <f>IF(AG324=3,AH324,#REF!)</f>
        <v>#REF!</v>
      </c>
      <c r="AJ324" s="1">
        <f>IF(AC296=ZAVESY,Ceny!$E$953,0)</f>
        <v>0</v>
      </c>
      <c r="AL324">
        <f>Ceny_n!$B$965</f>
        <v>15585</v>
      </c>
      <c r="AM324" s="1">
        <v>0</v>
      </c>
      <c r="AN324" s="1">
        <v>0</v>
      </c>
      <c r="AP324" s="1">
        <v>0</v>
      </c>
      <c r="AS324" s="1">
        <f>VLOOKUP(AL324,Ceny!$B$963:$E$970,4,0)</f>
        <v>3.1249699999999998</v>
      </c>
      <c r="AY324" s="1">
        <f t="shared" si="42"/>
        <v>3.1249699999999998</v>
      </c>
      <c r="BD324" s="48" t="e">
        <v>#REF!</v>
      </c>
      <c r="BE324" s="1" t="e">
        <f t="shared" si="37"/>
        <v>#REF!</v>
      </c>
    </row>
    <row r="325" spans="2:57" ht="13.5" customHeight="1">
      <c r="B325" s="80"/>
      <c r="D325" s="40"/>
      <c r="E325" s="40"/>
      <c r="F325" s="40"/>
      <c r="G325" s="40"/>
      <c r="H325" s="62"/>
      <c r="I325" s="62"/>
      <c r="J325" s="62"/>
      <c r="K325" s="63"/>
      <c r="L325" s="63"/>
      <c r="M325" s="64"/>
      <c r="N325" s="64"/>
      <c r="O325" s="64"/>
      <c r="P325" s="64"/>
      <c r="Q325" s="64"/>
      <c r="R325" s="40"/>
      <c r="S325" s="40"/>
      <c r="T325" s="40"/>
      <c r="U325" s="40"/>
      <c r="V325" s="40"/>
      <c r="W325" s="40"/>
      <c r="Z325" s="874" t="str">
        <f>Ceny_n!$B$140</f>
        <v>Cena za kompletní objednávku</v>
      </c>
      <c r="AA325" s="875"/>
      <c r="AB325" s="875"/>
      <c r="AC325" s="878">
        <f>SUM($AC$53,$AC$107,$AC$161,$AC$215,$AC$269,$AC$323)</f>
        <v>0</v>
      </c>
      <c r="AD325" s="223"/>
      <c r="AE325" s="174"/>
      <c r="AH325" s="1">
        <f>IF(AA305=Ceny_n!$B$184,IF(AI296=1,Ceny!$F$925,IF(AI296=2,Ceny!$G$925,0)),0)</f>
        <v>0</v>
      </c>
      <c r="AI325" s="1" t="e">
        <f>IF(AG324=3,AH325,#REF!)</f>
        <v>#REF!</v>
      </c>
      <c r="AJ325" s="1">
        <f>IF(AC296=ZAVESY,Ceny!$E$954,0)</f>
        <v>0</v>
      </c>
      <c r="AL325">
        <f>Ceny_n!$B$965</f>
        <v>15585</v>
      </c>
      <c r="AM325" s="1">
        <v>0</v>
      </c>
      <c r="AN325" s="1">
        <v>0</v>
      </c>
      <c r="AP325" s="1">
        <v>0</v>
      </c>
      <c r="AS325" s="1">
        <f>VLOOKUP(AL325,Ceny!$B$963:$E$970,4,0)</f>
        <v>3.1249699999999998</v>
      </c>
      <c r="AY325" s="1">
        <f t="shared" si="42"/>
        <v>3.1249699999999998</v>
      </c>
      <c r="BD325" s="48" t="e">
        <v>#REF!</v>
      </c>
      <c r="BE325" s="1" t="e">
        <f t="shared" si="37"/>
        <v>#REF!</v>
      </c>
    </row>
    <row r="326" spans="2:57" ht="17.25" customHeight="1">
      <c r="B326" s="80"/>
      <c r="D326" s="40"/>
      <c r="E326" s="40"/>
      <c r="F326" s="40"/>
      <c r="G326" s="40"/>
      <c r="H326" s="62"/>
      <c r="I326" s="62"/>
      <c r="J326" s="62"/>
      <c r="K326" s="63"/>
      <c r="L326" s="63"/>
      <c r="M326" s="64"/>
      <c r="N326" s="64"/>
      <c r="O326" s="64"/>
      <c r="P326" s="64"/>
      <c r="Q326" s="64"/>
      <c r="R326" s="40"/>
      <c r="S326" s="40"/>
      <c r="T326" s="40"/>
      <c r="U326" s="40"/>
      <c r="V326" s="40"/>
      <c r="W326" s="40"/>
      <c r="Z326" s="876"/>
      <c r="AA326" s="877"/>
      <c r="AB326" s="877"/>
      <c r="AC326" s="879"/>
      <c r="AD326" s="224"/>
      <c r="AE326" s="175"/>
      <c r="AH326" s="1">
        <f>IF(AA305=Ceny_n!$B$184,IF(AI296=1,Ceny!$F$926,IF(AI296=2,Ceny!$G$926,0)),0)</f>
        <v>0</v>
      </c>
      <c r="AI326" s="1" t="e">
        <f>IF(AG324=3,AH326,#REF!)</f>
        <v>#REF!</v>
      </c>
      <c r="AJ326" s="1">
        <f>IF(AC296=ZAVESY,Ceny!$E$955,0)</f>
        <v>0</v>
      </c>
      <c r="AL326">
        <f>Ceny_n!$B$965</f>
        <v>15585</v>
      </c>
      <c r="AM326" s="1">
        <v>0</v>
      </c>
      <c r="AN326" s="1">
        <v>0</v>
      </c>
      <c r="AP326" s="1">
        <v>0</v>
      </c>
      <c r="AS326" s="1">
        <f>VLOOKUP(AL326,Ceny!$B$963:$E$970,4,0)</f>
        <v>3.1249699999999998</v>
      </c>
      <c r="AY326" s="1">
        <f t="shared" si="42"/>
        <v>3.1249699999999998</v>
      </c>
      <c r="BD326" s="48" t="e">
        <v>#REF!</v>
      </c>
      <c r="BE326" s="1" t="e">
        <f t="shared" si="37"/>
        <v>#REF!</v>
      </c>
    </row>
    <row r="327" spans="2:57" ht="7.5" customHeight="1">
      <c r="B327" s="80"/>
      <c r="D327" s="40"/>
      <c r="E327" s="40"/>
      <c r="F327" s="40"/>
      <c r="G327" s="40"/>
      <c r="H327" s="62"/>
      <c r="I327" s="62"/>
      <c r="J327" s="62"/>
      <c r="K327" s="63"/>
      <c r="L327" s="63"/>
      <c r="M327" s="64"/>
      <c r="N327" s="64"/>
      <c r="O327" s="64"/>
      <c r="P327" s="64"/>
      <c r="Q327" s="64"/>
      <c r="R327" s="40"/>
      <c r="S327" s="40"/>
      <c r="T327" s="40"/>
      <c r="U327" s="40"/>
      <c r="V327" s="40"/>
      <c r="W327" s="40"/>
      <c r="Z327" s="880" t="str">
        <f>Ceny_n!$B$131</f>
        <v>Uvedené ceny jsou bez DPH a nezahrnují cenu požadovaného kování!</v>
      </c>
      <c r="AA327" s="880"/>
      <c r="AB327" s="880"/>
      <c r="AC327" s="881"/>
      <c r="AH327" s="1">
        <f>IF(AA305=Ceny_n!$B$184,IF(AI296=1,Ceny!$F$927,IF(AI296=2,Ceny!$G$927,0)),0)</f>
        <v>0</v>
      </c>
      <c r="AI327" s="1" t="e">
        <f>IF(AG324=3,AH327,#REF!)</f>
        <v>#REF!</v>
      </c>
      <c r="AJ327" s="1">
        <f>IF(AC296=ZAVESY,Ceny!$E$956,0)</f>
        <v>0</v>
      </c>
      <c r="AL327">
        <f>Ceny_n!$B$965</f>
        <v>15585</v>
      </c>
      <c r="AM327" s="1">
        <v>0</v>
      </c>
      <c r="AN327" s="1">
        <v>0</v>
      </c>
      <c r="AP327" s="1">
        <v>0</v>
      </c>
      <c r="AS327" s="1">
        <f>VLOOKUP(AL327,Ceny!$B$963:$E$970,4,0)</f>
        <v>3.1249699999999998</v>
      </c>
      <c r="AY327" s="1">
        <f t="shared" si="42"/>
        <v>3.1249699999999998</v>
      </c>
      <c r="BD327" s="48" t="e">
        <v>#REF!</v>
      </c>
      <c r="BE327" s="1" t="e">
        <f t="shared" si="37"/>
        <v>#REF!</v>
      </c>
    </row>
    <row r="328" spans="2:57" ht="7.5" customHeight="1">
      <c r="B328" s="81"/>
      <c r="C328" s="82"/>
      <c r="D328" s="82"/>
      <c r="E328" s="82"/>
      <c r="F328" s="82"/>
      <c r="G328" s="82"/>
      <c r="H328" s="82"/>
      <c r="I328" s="83"/>
      <c r="J328" s="83"/>
      <c r="K328" s="83"/>
      <c r="L328" s="83"/>
      <c r="M328" s="83"/>
      <c r="N328" s="83"/>
      <c r="O328" s="82"/>
      <c r="P328" s="82"/>
      <c r="Q328" s="82"/>
      <c r="R328" s="82"/>
      <c r="S328" s="82"/>
      <c r="T328" s="82"/>
      <c r="U328" s="82"/>
      <c r="V328" s="82"/>
      <c r="W328" s="82"/>
      <c r="X328" s="82"/>
      <c r="Y328" s="82"/>
      <c r="Z328" s="882"/>
      <c r="AA328" s="882"/>
      <c r="AB328" s="882"/>
      <c r="AC328" s="883"/>
      <c r="AH328" s="1">
        <f>IF(AA305=Ceny_n!$B$184,IF(AI296=1,Ceny!$F$928,IF(AI296=2,Ceny!$G$928,0)),0)</f>
        <v>0</v>
      </c>
      <c r="AI328" s="1" t="e">
        <f>IF(AG324=3,AH328,#REF!)</f>
        <v>#REF!</v>
      </c>
      <c r="AJ328" s="1">
        <f>IF(AC296=ZAVESY,Ceny!$E$957,0)</f>
        <v>0</v>
      </c>
      <c r="AL328">
        <f>Ceny_n!$B$965</f>
        <v>15585</v>
      </c>
      <c r="AM328" s="1">
        <v>0</v>
      </c>
      <c r="AN328" s="1">
        <v>0</v>
      </c>
      <c r="AP328" s="1">
        <v>0</v>
      </c>
      <c r="AS328" s="1">
        <f>VLOOKUP(AL328,Ceny!$B$963:$E$970,4,0)</f>
        <v>3.1249699999999998</v>
      </c>
      <c r="AY328" s="1">
        <f t="shared" si="42"/>
        <v>3.1249699999999998</v>
      </c>
      <c r="BD328" s="48" t="e">
        <v>#REF!</v>
      </c>
      <c r="BE328" s="1" t="e">
        <f t="shared" si="37"/>
        <v>#REF!</v>
      </c>
    </row>
    <row r="329" spans="2:57" ht="7.35" customHeight="1">
      <c r="B329" s="892" t="str">
        <f>Ceny_n!$B$137</f>
        <v>Poznámky</v>
      </c>
      <c r="C329" s="893"/>
      <c r="D329" s="893"/>
      <c r="E329" s="893"/>
      <c r="F329" s="893"/>
      <c r="G329" s="911"/>
      <c r="H329" s="911"/>
      <c r="I329" s="911"/>
      <c r="J329" s="911"/>
      <c r="K329" s="911"/>
      <c r="L329" s="911"/>
      <c r="M329" s="911"/>
      <c r="N329" s="911"/>
      <c r="O329" s="911"/>
      <c r="P329" s="911"/>
      <c r="Q329" s="911"/>
      <c r="R329" s="911"/>
      <c r="S329" s="911"/>
      <c r="T329" s="911"/>
      <c r="U329" s="911"/>
      <c r="V329" s="911"/>
      <c r="W329" s="911"/>
      <c r="X329" s="911"/>
      <c r="Y329" s="911"/>
      <c r="Z329" s="911"/>
      <c r="AA329" s="911"/>
      <c r="AB329" s="911"/>
      <c r="AC329" s="912"/>
      <c r="AD329" s="225"/>
      <c r="AE329" s="176"/>
      <c r="AH329" s="1">
        <f>IF(AA305=Ceny_n!$B$184,IF(AI296=1,Ceny!$F$929,IF(AI296=2,Ceny!$G$929,0)),0)</f>
        <v>0</v>
      </c>
      <c r="AI329" s="1" t="e">
        <f>IF(AG324=3,AH329,#REF!)</f>
        <v>#REF!</v>
      </c>
      <c r="AJ329" s="1">
        <f>IF(AC296=ZAVESY,Ceny!$E$958,0)</f>
        <v>0</v>
      </c>
      <c r="AL329" s="1">
        <f>Ceny_n!$B$968</f>
        <v>15596</v>
      </c>
      <c r="AM329" s="1">
        <f>Ceny_n!$B$967</f>
        <v>15595</v>
      </c>
      <c r="AN329" s="65" t="e">
        <f>IF(AI296=1,Ceny!$B$967,0)</f>
        <v>#REF!</v>
      </c>
      <c r="AO329" s="65"/>
      <c r="AP329" s="65" t="e">
        <f>IF(AI296=1,Ceny!$B$968,0)</f>
        <v>#REF!</v>
      </c>
      <c r="AQ329" s="65"/>
      <c r="AR329" s="65" t="e">
        <f>IF(AI296=1,Ceny!$B$969,0)</f>
        <v>#REF!</v>
      </c>
      <c r="AS329" s="1">
        <f>VLOOKUP(AL329,Ceny!$B$963:$E$970,4,0)</f>
        <v>11.9</v>
      </c>
      <c r="AT329" s="1">
        <f>VLOOKUP(AM329,Ceny!$B$963:$E$970,4,0)</f>
        <v>13.4</v>
      </c>
      <c r="AU329" s="1" t="e">
        <f>VLOOKUP(AN329,Ceny!$B$963:$E$970,4,0)</f>
        <v>#REF!</v>
      </c>
      <c r="AW329" s="1" t="e">
        <f>2*(VLOOKUP(AP329,Ceny!$B$963:$E$970,4,0))</f>
        <v>#REF!</v>
      </c>
      <c r="AX329" s="1" t="e">
        <f>2*(VLOOKUP(AR329,Ceny!$B$963:$E$970,4,0))</f>
        <v>#REF!</v>
      </c>
      <c r="AY329" s="1" t="e">
        <f t="shared" si="42"/>
        <v>#REF!</v>
      </c>
      <c r="BD329" s="48" t="e">
        <v>#REF!</v>
      </c>
      <c r="BE329" s="1" t="e">
        <f t="shared" si="37"/>
        <v>#REF!</v>
      </c>
    </row>
    <row r="330" spans="2:57" ht="7.35" customHeight="1">
      <c r="B330" s="894"/>
      <c r="C330" s="895"/>
      <c r="D330" s="895"/>
      <c r="E330" s="895"/>
      <c r="F330" s="895"/>
      <c r="G330" s="913"/>
      <c r="H330" s="913"/>
      <c r="I330" s="913"/>
      <c r="J330" s="913"/>
      <c r="K330" s="913"/>
      <c r="L330" s="913"/>
      <c r="M330" s="913"/>
      <c r="N330" s="913"/>
      <c r="O330" s="913"/>
      <c r="P330" s="913"/>
      <c r="Q330" s="913"/>
      <c r="R330" s="913"/>
      <c r="S330" s="913"/>
      <c r="T330" s="913"/>
      <c r="U330" s="913"/>
      <c r="V330" s="913"/>
      <c r="W330" s="913"/>
      <c r="X330" s="913"/>
      <c r="Y330" s="913"/>
      <c r="Z330" s="913"/>
      <c r="AA330" s="913"/>
      <c r="AB330" s="913"/>
      <c r="AC330" s="914"/>
      <c r="AD330" s="225"/>
      <c r="AE330" s="176"/>
      <c r="AH330" s="1">
        <f>IF(AA305=Ceny_n!$B$184,IF(AI296=1,Ceny!$F$930,IF(AI296=2,Ceny!$G$930,0)),0)</f>
        <v>0</v>
      </c>
      <c r="AI330" s="1" t="e">
        <f>IF(AG324=3,AH330,#REF!)</f>
        <v>#REF!</v>
      </c>
      <c r="AJ330" s="1">
        <f>IF(AC296=ZAVESY,Ceny!$E$959,0)</f>
        <v>0</v>
      </c>
      <c r="AL330" s="1">
        <f>Ceny_n!$B$968</f>
        <v>15596</v>
      </c>
      <c r="AM330" s="1">
        <f>Ceny_n!$B$967</f>
        <v>15595</v>
      </c>
      <c r="AN330" s="65" t="e">
        <f>IF(AI296=1,Ceny!$B$967,0)</f>
        <v>#REF!</v>
      </c>
      <c r="AO330" s="65"/>
      <c r="AP330" s="65" t="e">
        <f>IF(AI296=1,Ceny!$B$968,0)</f>
        <v>#REF!</v>
      </c>
      <c r="AQ330" s="65"/>
      <c r="AR330" s="65" t="e">
        <f>IF(AI296=1,Ceny!$B$969,0)</f>
        <v>#REF!</v>
      </c>
      <c r="AS330" s="1">
        <f>VLOOKUP(AL330,Ceny!$B$963:$E$970,4,0)</f>
        <v>11.9</v>
      </c>
      <c r="AT330" s="1">
        <f>VLOOKUP(AM330,Ceny!$B$963:$E$970,4,0)</f>
        <v>13.4</v>
      </c>
      <c r="AU330" s="1" t="e">
        <f>VLOOKUP(AN330,Ceny!$B$963:$E$970,4,0)</f>
        <v>#REF!</v>
      </c>
      <c r="AW330" s="1" t="e">
        <f>2*(VLOOKUP(AP330,Ceny!$B$963:$E$970,4,0))</f>
        <v>#REF!</v>
      </c>
      <c r="AX330" s="1" t="e">
        <f>2*(VLOOKUP(AR330,Ceny!$B$963:$E$970,4,0))</f>
        <v>#REF!</v>
      </c>
      <c r="AY330" s="1" t="e">
        <f t="shared" si="42"/>
        <v>#REF!</v>
      </c>
      <c r="BD330" s="48" t="e">
        <v>#REF!</v>
      </c>
      <c r="BE330" s="1" t="e">
        <f t="shared" si="37"/>
        <v>#REF!</v>
      </c>
    </row>
    <row r="331" spans="2:57" ht="7.35" customHeight="1">
      <c r="B331" s="894"/>
      <c r="C331" s="895"/>
      <c r="D331" s="895"/>
      <c r="E331" s="895"/>
      <c r="F331" s="895"/>
      <c r="G331" s="913"/>
      <c r="H331" s="913"/>
      <c r="I331" s="913"/>
      <c r="J331" s="913"/>
      <c r="K331" s="913"/>
      <c r="L331" s="913"/>
      <c r="M331" s="913"/>
      <c r="N331" s="913"/>
      <c r="O331" s="913"/>
      <c r="P331" s="913"/>
      <c r="Q331" s="913"/>
      <c r="R331" s="913"/>
      <c r="S331" s="913"/>
      <c r="T331" s="913"/>
      <c r="U331" s="913"/>
      <c r="V331" s="913"/>
      <c r="W331" s="913"/>
      <c r="X331" s="913"/>
      <c r="Y331" s="913"/>
      <c r="Z331" s="913"/>
      <c r="AA331" s="913"/>
      <c r="AB331" s="913"/>
      <c r="AC331" s="914"/>
      <c r="AD331" s="225"/>
      <c r="AE331" s="176"/>
      <c r="AH331" s="1">
        <f>IF(AA305=Ceny_n!$B$184,IF(AI296=1,Ceny!$F$931,IF(AI296=2,Ceny!$G$931,0)),0)</f>
        <v>0</v>
      </c>
      <c r="AI331" s="1" t="e">
        <f>IF(AG324=3,AH331,#REF!)</f>
        <v>#REF!</v>
      </c>
      <c r="AJ331" s="1">
        <f>IF(AC296=ZAVESY,Ceny!$E$960,0)</f>
        <v>0</v>
      </c>
      <c r="AL331" s="1">
        <f>Ceny_n!$B$968</f>
        <v>15596</v>
      </c>
      <c r="AM331" s="1">
        <f>Ceny_n!$B$967</f>
        <v>15595</v>
      </c>
      <c r="AN331" s="65" t="e">
        <f>IF(AI296=1,Ceny!$B$967,0)</f>
        <v>#REF!</v>
      </c>
      <c r="AO331" s="65"/>
      <c r="AP331" s="65" t="e">
        <f>IF(AI296=1,Ceny!$B$968,0)</f>
        <v>#REF!</v>
      </c>
      <c r="AQ331" s="65"/>
      <c r="AR331" s="65" t="e">
        <f>IF(AI296=1,Ceny!$B$969,0)</f>
        <v>#REF!</v>
      </c>
      <c r="AS331" s="1">
        <f>VLOOKUP(AL331,Ceny!$B$963:$E$970,4,0)</f>
        <v>11.9</v>
      </c>
      <c r="AT331" s="1">
        <f>VLOOKUP(AM331,Ceny!$B$963:$E$970,4,0)</f>
        <v>13.4</v>
      </c>
      <c r="AU331" s="1" t="e">
        <f>VLOOKUP(AN331,Ceny!$B$963:$E$970,4,0)</f>
        <v>#REF!</v>
      </c>
      <c r="AW331" s="1" t="e">
        <f>2*(VLOOKUP(AP331,Ceny!$B$963:$E$970,4,0))</f>
        <v>#REF!</v>
      </c>
      <c r="AX331" s="1" t="e">
        <f>2*(VLOOKUP(AR331,Ceny!$B$963:$E$970,4,0))</f>
        <v>#REF!</v>
      </c>
      <c r="AY331" s="1" t="e">
        <f t="shared" si="42"/>
        <v>#REF!</v>
      </c>
      <c r="BD331" s="48" t="e">
        <v>#REF!</v>
      </c>
      <c r="BE331" s="1" t="e">
        <f t="shared" si="37"/>
        <v>#REF!</v>
      </c>
    </row>
    <row r="332" spans="2:57" ht="7.35" customHeight="1">
      <c r="B332" s="894"/>
      <c r="C332" s="895"/>
      <c r="D332" s="895"/>
      <c r="E332" s="895"/>
      <c r="F332" s="895"/>
      <c r="G332" s="913"/>
      <c r="H332" s="913"/>
      <c r="I332" s="913"/>
      <c r="J332" s="913"/>
      <c r="K332" s="913"/>
      <c r="L332" s="913"/>
      <c r="M332" s="913"/>
      <c r="N332" s="913"/>
      <c r="O332" s="913"/>
      <c r="P332" s="913"/>
      <c r="Q332" s="913"/>
      <c r="R332" s="913"/>
      <c r="S332" s="913"/>
      <c r="T332" s="913"/>
      <c r="U332" s="913"/>
      <c r="V332" s="913"/>
      <c r="W332" s="913"/>
      <c r="X332" s="913"/>
      <c r="Y332" s="913"/>
      <c r="Z332" s="913"/>
      <c r="AA332" s="913"/>
      <c r="AB332" s="913"/>
      <c r="AC332" s="914"/>
      <c r="AD332" s="225"/>
      <c r="AE332" s="176"/>
      <c r="AH332" s="1">
        <f>IF(AA305=Ceny_n!$B$184,IF(AI296=1,Ceny!$F$932,IF(AI296=2,Ceny!$G$932,0)),0)</f>
        <v>0</v>
      </c>
      <c r="AI332" s="1" t="e">
        <f>IF(AG324=3,AH332,#REF!)</f>
        <v>#REF!</v>
      </c>
      <c r="AJ332" s="1">
        <f>IF(AC296=ZAVESY,Ceny!$E$961,0)</f>
        <v>0</v>
      </c>
      <c r="AL332" s="1">
        <f>Ceny_n!$B$968</f>
        <v>15596</v>
      </c>
      <c r="AM332" s="1">
        <f>Ceny_n!$B$967</f>
        <v>15595</v>
      </c>
      <c r="AN332" s="65" t="e">
        <f>IF(AI296=1,Ceny!$B$967,0)</f>
        <v>#REF!</v>
      </c>
      <c r="AO332" s="65"/>
      <c r="AP332" s="65" t="e">
        <f>IF(AI296=1,Ceny!$B$968,0)</f>
        <v>#REF!</v>
      </c>
      <c r="AQ332" s="65"/>
      <c r="AR332" s="65" t="e">
        <f>IF(AI296=1,Ceny!$B$969,0)</f>
        <v>#REF!</v>
      </c>
      <c r="AS332" s="1">
        <f>VLOOKUP(AL332,Ceny!$B$963:$E$970,4,0)</f>
        <v>11.9</v>
      </c>
      <c r="AT332" s="1">
        <f>VLOOKUP(AM332,Ceny!$B$963:$E$970,4,0)</f>
        <v>13.4</v>
      </c>
      <c r="AU332" s="1" t="e">
        <f>VLOOKUP(AN332,Ceny!$B$963:$E$970,4,0)</f>
        <v>#REF!</v>
      </c>
      <c r="AW332" s="1" t="e">
        <f>2*(VLOOKUP(AP332,Ceny!$B$963:$E$970,4,0))</f>
        <v>#REF!</v>
      </c>
      <c r="AX332" s="1" t="e">
        <f>2*(VLOOKUP(AR332,Ceny!$B$963:$E$970,4,0))</f>
        <v>#REF!</v>
      </c>
      <c r="AY332" s="1" t="e">
        <f t="shared" si="42"/>
        <v>#REF!</v>
      </c>
      <c r="BD332" s="48" t="e">
        <v>#REF!</v>
      </c>
      <c r="BE332" s="1" t="e">
        <f t="shared" si="37"/>
        <v>#REF!</v>
      </c>
    </row>
    <row r="333" spans="2:57" ht="7.35" customHeight="1">
      <c r="B333" s="894"/>
      <c r="C333" s="895"/>
      <c r="D333" s="895"/>
      <c r="E333" s="895"/>
      <c r="F333" s="895"/>
      <c r="G333" s="913"/>
      <c r="H333" s="913"/>
      <c r="I333" s="913"/>
      <c r="J333" s="913"/>
      <c r="K333" s="913"/>
      <c r="L333" s="913"/>
      <c r="M333" s="913"/>
      <c r="N333" s="913"/>
      <c r="O333" s="913"/>
      <c r="P333" s="913"/>
      <c r="Q333" s="913"/>
      <c r="R333" s="913"/>
      <c r="S333" s="913"/>
      <c r="T333" s="913"/>
      <c r="U333" s="913"/>
      <c r="V333" s="913"/>
      <c r="W333" s="913"/>
      <c r="X333" s="913"/>
      <c r="Y333" s="913"/>
      <c r="Z333" s="913"/>
      <c r="AA333" s="913"/>
      <c r="AB333" s="913"/>
      <c r="AC333" s="914"/>
      <c r="AD333" s="225"/>
      <c r="AE333" s="176"/>
      <c r="AH333" s="1">
        <f>IF(AA305=Ceny_n!$B$184,IF(AI296=1,Ceny!$F$933,IF(AI296=2,Ceny!$G$933,0)),0)</f>
        <v>0</v>
      </c>
      <c r="AI333" s="1" t="e">
        <f>IF(AG324=3,AH333,#REF!)</f>
        <v>#REF!</v>
      </c>
      <c r="AJ333" s="1">
        <f>IF(AC296=ZAVESY,Ceny!$E$962,0)</f>
        <v>0</v>
      </c>
      <c r="AY333" s="1">
        <f t="shared" si="42"/>
        <v>0</v>
      </c>
      <c r="BD333" s="48" t="e">
        <v>#REF!</v>
      </c>
      <c r="BE333" s="1" t="e">
        <f t="shared" si="37"/>
        <v>#REF!</v>
      </c>
    </row>
    <row r="334" spans="2:57" ht="6" customHeight="1">
      <c r="B334" s="894"/>
      <c r="C334" s="895"/>
      <c r="D334" s="895"/>
      <c r="E334" s="895"/>
      <c r="F334" s="895"/>
      <c r="G334" s="913"/>
      <c r="H334" s="913"/>
      <c r="I334" s="913"/>
      <c r="J334" s="913"/>
      <c r="K334" s="913"/>
      <c r="L334" s="913"/>
      <c r="M334" s="913"/>
      <c r="N334" s="913"/>
      <c r="O334" s="913"/>
      <c r="P334" s="913"/>
      <c r="Q334" s="913"/>
      <c r="R334" s="913"/>
      <c r="S334" s="913"/>
      <c r="T334" s="913"/>
      <c r="U334" s="913"/>
      <c r="V334" s="913"/>
      <c r="W334" s="913"/>
      <c r="X334" s="913"/>
      <c r="Y334" s="913"/>
      <c r="Z334" s="913"/>
      <c r="AA334" s="913"/>
      <c r="AB334" s="913"/>
      <c r="AC334" s="914"/>
      <c r="AD334" s="225"/>
      <c r="AE334" s="176"/>
      <c r="AH334" s="1">
        <f>IF(AA305=Ceny_n!$B$184,IF(AI296=1,Ceny!$F$934,IF(AI296=2,Ceny!$G$934,0)),0)</f>
        <v>0</v>
      </c>
      <c r="AI334" s="1" t="e">
        <f>IF(AG324=3,AH334,#REF!)</f>
        <v>#REF!</v>
      </c>
      <c r="BD334" s="48" t="e">
        <v>#REF!</v>
      </c>
      <c r="BE334" s="1" t="e">
        <f t="shared" si="37"/>
        <v>#REF!</v>
      </c>
    </row>
    <row r="335" spans="2:57" ht="7.35" customHeight="1" thickBot="1">
      <c r="B335" s="894"/>
      <c r="C335" s="895"/>
      <c r="D335" s="895"/>
      <c r="E335" s="895"/>
      <c r="F335" s="895"/>
      <c r="G335" s="913"/>
      <c r="H335" s="913"/>
      <c r="I335" s="913"/>
      <c r="J335" s="913"/>
      <c r="K335" s="913"/>
      <c r="L335" s="913"/>
      <c r="M335" s="913"/>
      <c r="N335" s="913"/>
      <c r="O335" s="913"/>
      <c r="P335" s="913"/>
      <c r="Q335" s="913"/>
      <c r="R335" s="913"/>
      <c r="S335" s="913"/>
      <c r="T335" s="913"/>
      <c r="U335" s="913"/>
      <c r="V335" s="913"/>
      <c r="W335" s="913"/>
      <c r="X335" s="913"/>
      <c r="Y335" s="913"/>
      <c r="Z335" s="913"/>
      <c r="AA335" s="913"/>
      <c r="AB335" s="913"/>
      <c r="AC335" s="914"/>
      <c r="AD335" s="225"/>
      <c r="AE335" s="176"/>
      <c r="AH335" s="1">
        <f>IF(AA305=Ceny_n!$B$184,IF(AI296=1,Ceny!$F$935,IF(AI296=2,Ceny!$G$935,0)),0)</f>
        <v>0</v>
      </c>
      <c r="AI335" s="1" t="e">
        <f>IF(AG324=3,AH335,#REF!)</f>
        <v>#REF!</v>
      </c>
      <c r="BD335" s="52" t="e">
        <v>#REF!</v>
      </c>
      <c r="BE335" s="1" t="e">
        <f t="shared" si="37"/>
        <v>#REF!</v>
      </c>
    </row>
    <row r="336" spans="2:57" ht="7.35" customHeight="1">
      <c r="B336" s="894"/>
      <c r="C336" s="895"/>
      <c r="D336" s="895"/>
      <c r="E336" s="895"/>
      <c r="F336" s="895"/>
      <c r="G336" s="913"/>
      <c r="H336" s="913"/>
      <c r="I336" s="913"/>
      <c r="J336" s="913"/>
      <c r="K336" s="913"/>
      <c r="L336" s="913"/>
      <c r="M336" s="913"/>
      <c r="N336" s="913"/>
      <c r="O336" s="913"/>
      <c r="P336" s="913"/>
      <c r="Q336" s="913"/>
      <c r="R336" s="913"/>
      <c r="S336" s="913"/>
      <c r="T336" s="913"/>
      <c r="U336" s="913"/>
      <c r="V336" s="913"/>
      <c r="W336" s="913"/>
      <c r="X336" s="913"/>
      <c r="Y336" s="913"/>
      <c r="Z336" s="913"/>
      <c r="AA336" s="913"/>
      <c r="AB336" s="913"/>
      <c r="AC336" s="914"/>
      <c r="AD336" s="225"/>
      <c r="AE336" s="176"/>
      <c r="AH336" s="1">
        <f>IF(AA305=Ceny_n!$B$184,IF(AI296=1,Ceny!$F$936,IF(AI296=2,Ceny!$G$936,0)),0)</f>
        <v>0</v>
      </c>
      <c r="AI336" s="1" t="e">
        <f>IF(AG324=3,AH336,#REF!)</f>
        <v>#REF!</v>
      </c>
    </row>
    <row r="337" spans="2:35" ht="7.35" customHeight="1">
      <c r="B337" s="894"/>
      <c r="C337" s="895"/>
      <c r="D337" s="895"/>
      <c r="E337" s="895"/>
      <c r="F337" s="895"/>
      <c r="G337" s="913"/>
      <c r="H337" s="913"/>
      <c r="I337" s="913"/>
      <c r="J337" s="913"/>
      <c r="K337" s="913"/>
      <c r="L337" s="913"/>
      <c r="M337" s="913"/>
      <c r="N337" s="913"/>
      <c r="O337" s="913"/>
      <c r="P337" s="913"/>
      <c r="Q337" s="913"/>
      <c r="R337" s="913"/>
      <c r="S337" s="913"/>
      <c r="T337" s="913"/>
      <c r="U337" s="913"/>
      <c r="V337" s="913"/>
      <c r="W337" s="913"/>
      <c r="X337" s="913"/>
      <c r="Y337" s="913"/>
      <c r="Z337" s="913"/>
      <c r="AA337" s="913"/>
      <c r="AB337" s="913"/>
      <c r="AC337" s="914"/>
      <c r="AD337" s="225"/>
      <c r="AE337" s="176"/>
      <c r="AH337" s="1">
        <f>IF(AA305=Ceny_n!$B$184,IF(AI296=1,Ceny!$F$937,IF(AI296=2,Ceny!$G$937,0)),0)</f>
        <v>0</v>
      </c>
      <c r="AI337" s="1" t="e">
        <f>IF(AG324=3,AH337,#REF!)</f>
        <v>#REF!</v>
      </c>
    </row>
    <row r="338" spans="2:35" ht="20.25" customHeight="1">
      <c r="B338" s="894"/>
      <c r="C338" s="895"/>
      <c r="D338" s="895"/>
      <c r="E338" s="895"/>
      <c r="F338" s="895"/>
      <c r="G338" s="913"/>
      <c r="H338" s="913"/>
      <c r="I338" s="913"/>
      <c r="J338" s="913"/>
      <c r="K338" s="913"/>
      <c r="L338" s="913"/>
      <c r="M338" s="913"/>
      <c r="N338" s="913"/>
      <c r="O338" s="913"/>
      <c r="P338" s="913"/>
      <c r="Q338" s="913"/>
      <c r="R338" s="913"/>
      <c r="S338" s="913"/>
      <c r="T338" s="913"/>
      <c r="U338" s="913"/>
      <c r="V338" s="913"/>
      <c r="W338" s="913"/>
      <c r="X338" s="913"/>
      <c r="Y338" s="913"/>
      <c r="Z338" s="913"/>
      <c r="AA338" s="913"/>
      <c r="AB338" s="913"/>
      <c r="AC338" s="914"/>
      <c r="AD338" s="225"/>
      <c r="AE338" s="176"/>
      <c r="AH338" s="1">
        <f>IF(AA305=Ceny_n!$B$184,IF(AI296=1,Ceny!$F$938,IF(AI296=2,Ceny!$G$938,0)),0)</f>
        <v>0</v>
      </c>
      <c r="AI338" s="1" t="e">
        <f>IF(AG324=3,AH338,#REF!)</f>
        <v>#REF!</v>
      </c>
    </row>
    <row r="339" spans="2:35" ht="7.35" customHeight="1">
      <c r="B339" s="894"/>
      <c r="C339" s="895"/>
      <c r="D339" s="895"/>
      <c r="E339" s="895"/>
      <c r="F339" s="895"/>
      <c r="G339" s="913"/>
      <c r="H339" s="913"/>
      <c r="I339" s="913"/>
      <c r="J339" s="913"/>
      <c r="K339" s="913"/>
      <c r="L339" s="913"/>
      <c r="M339" s="913"/>
      <c r="N339" s="913"/>
      <c r="O339" s="913"/>
      <c r="P339" s="913"/>
      <c r="Q339" s="913"/>
      <c r="R339" s="913"/>
      <c r="S339" s="913"/>
      <c r="T339" s="913"/>
      <c r="U339" s="913"/>
      <c r="V339" s="913"/>
      <c r="W339" s="913"/>
      <c r="X339" s="913"/>
      <c r="Y339" s="913"/>
      <c r="Z339" s="913"/>
      <c r="AA339" s="913"/>
      <c r="AB339" s="913"/>
      <c r="AC339" s="914"/>
      <c r="AD339" s="225"/>
      <c r="AE339" s="176"/>
      <c r="AH339" s="1">
        <f>IF(AA305=Ceny_n!$B$184,IF(AI296=1,Ceny!$F$939,IF(AI296=2,Ceny!$G$939,0)),0)</f>
        <v>0</v>
      </c>
    </row>
    <row r="340" spans="2:35" ht="7.35" customHeight="1">
      <c r="B340" s="894"/>
      <c r="C340" s="895"/>
      <c r="D340" s="895"/>
      <c r="E340" s="895"/>
      <c r="F340" s="895"/>
      <c r="G340" s="913"/>
      <c r="H340" s="913"/>
      <c r="I340" s="913"/>
      <c r="J340" s="913"/>
      <c r="K340" s="913"/>
      <c r="L340" s="913"/>
      <c r="M340" s="913"/>
      <c r="N340" s="913"/>
      <c r="O340" s="913"/>
      <c r="P340" s="913"/>
      <c r="Q340" s="913"/>
      <c r="R340" s="913"/>
      <c r="S340" s="913"/>
      <c r="T340" s="913"/>
      <c r="U340" s="913"/>
      <c r="V340" s="913"/>
      <c r="W340" s="913"/>
      <c r="X340" s="913"/>
      <c r="Y340" s="913"/>
      <c r="Z340" s="913"/>
      <c r="AA340" s="913"/>
      <c r="AB340" s="913"/>
      <c r="AC340" s="914"/>
      <c r="AD340" s="225"/>
      <c r="AE340" s="176"/>
      <c r="AH340" s="1">
        <f>IF(AA305=Ceny_n!$B$184,IF(AI296=1,Ceny!$F$940,IF(AI296=2,Ceny!$G$940,0)),0)</f>
        <v>0</v>
      </c>
    </row>
    <row r="341" spans="2:35" ht="7.35" customHeight="1">
      <c r="B341" s="894"/>
      <c r="C341" s="895"/>
      <c r="D341" s="895"/>
      <c r="E341" s="895"/>
      <c r="F341" s="895"/>
      <c r="G341" s="913"/>
      <c r="H341" s="913"/>
      <c r="I341" s="913"/>
      <c r="J341" s="913"/>
      <c r="K341" s="913"/>
      <c r="L341" s="913"/>
      <c r="M341" s="913"/>
      <c r="N341" s="913"/>
      <c r="O341" s="913"/>
      <c r="P341" s="913"/>
      <c r="Q341" s="913"/>
      <c r="R341" s="913"/>
      <c r="S341" s="913"/>
      <c r="T341" s="913"/>
      <c r="U341" s="913"/>
      <c r="V341" s="913"/>
      <c r="W341" s="913"/>
      <c r="X341" s="913"/>
      <c r="Y341" s="913"/>
      <c r="Z341" s="913"/>
      <c r="AA341" s="913"/>
      <c r="AB341" s="913"/>
      <c r="AC341" s="914"/>
      <c r="AD341" s="225"/>
      <c r="AE341" s="176"/>
      <c r="AH341" s="1">
        <f>IF(AA305=Ceny_n!$B$184,IF(AI296=1,Ceny!$F$941,IF(AI296=2,Ceny!$G$941,0)),0)</f>
        <v>0</v>
      </c>
    </row>
    <row r="342" spans="2:35" ht="18.75">
      <c r="B342" s="896"/>
      <c r="C342" s="897"/>
      <c r="D342" s="897"/>
      <c r="E342" s="897"/>
      <c r="F342" s="897"/>
      <c r="G342" s="915"/>
      <c r="H342" s="915"/>
      <c r="I342" s="915"/>
      <c r="J342" s="915"/>
      <c r="K342" s="915"/>
      <c r="L342" s="915"/>
      <c r="M342" s="915"/>
      <c r="N342" s="915"/>
      <c r="O342" s="915"/>
      <c r="P342" s="915"/>
      <c r="Q342" s="915"/>
      <c r="R342" s="915"/>
      <c r="S342" s="915"/>
      <c r="T342" s="915"/>
      <c r="U342" s="915"/>
      <c r="V342" s="915"/>
      <c r="W342" s="915"/>
      <c r="X342" s="915"/>
      <c r="Y342" s="915"/>
      <c r="Z342" s="915"/>
      <c r="AA342" s="915"/>
      <c r="AB342" s="915"/>
      <c r="AC342" s="916"/>
      <c r="AD342" s="225"/>
      <c r="AE342" s="176"/>
      <c r="AH342" s="1">
        <f>IF(AA305=Ceny_n!$B$184,IF(AI296=1,Ceny!$F$942,IF(AI296=2,Ceny!$G$942,0)),0)</f>
        <v>0</v>
      </c>
    </row>
    <row r="346" spans="2:35">
      <c r="B346" s="1" t="s">
        <v>38</v>
      </c>
      <c r="C346" s="1" t="s">
        <v>39</v>
      </c>
      <c r="D346" s="1" t="s">
        <v>40</v>
      </c>
      <c r="F346" s="1" t="s">
        <v>100</v>
      </c>
      <c r="G346" s="1" t="s">
        <v>101</v>
      </c>
      <c r="H346" s="1" t="s">
        <v>102</v>
      </c>
      <c r="J346" s="1" t="s">
        <v>96</v>
      </c>
    </row>
    <row r="347" spans="2:35">
      <c r="B347" s="1" t="str">
        <f>Ceny_n!$B$199</f>
        <v>Vyberte ze seznamu</v>
      </c>
      <c r="J347" s="1" t="str">
        <f>Ceny_n!$B$199</f>
        <v>Vyberte ze seznamu</v>
      </c>
    </row>
    <row r="348" spans="2:35">
      <c r="B348" s="1" t="str">
        <f>Ceny_n!B6</f>
        <v>BRW (elox.)</v>
      </c>
      <c r="C348" s="1">
        <f>VLOOKUP(B:B,Ceny!$B:$D,2,FALSE)</f>
        <v>212.18</v>
      </c>
      <c r="D348" s="1">
        <f>VLOOKUP(B:B,Ceny!$B:$D,3,FALSE)</f>
        <v>92.7</v>
      </c>
      <c r="E348" s="1">
        <f>VLOOKUP(B348,Ceny!$B$6:$Q$47,16,0)</f>
        <v>1</v>
      </c>
      <c r="F348" s="1">
        <f>Ceny_n!$C$124</f>
        <v>30</v>
      </c>
      <c r="G348" s="1">
        <f>Ceny_n!$C$124</f>
        <v>30</v>
      </c>
      <c r="H348" s="1">
        <f>Ceny_n!$C$124</f>
        <v>30</v>
      </c>
      <c r="J348" s="1" t="str">
        <f>Ceny_n!$B$141</f>
        <v>Závěsy</v>
      </c>
    </row>
    <row r="349" spans="2:35">
      <c r="B349" s="1" t="str">
        <f>Ceny_n!B7</f>
        <v>BRW antracit</v>
      </c>
      <c r="C349" s="1">
        <f>VLOOKUP(B:B,Ceny!$B:$D,2,FALSE)</f>
        <v>424.36</v>
      </c>
      <c r="D349" s="1">
        <f>VLOOKUP(B:B,Ceny!$B:$D,3,FALSE)</f>
        <v>112.27</v>
      </c>
      <c r="E349" s="1">
        <f>VLOOKUP(B349,Ceny!$B$6:$Q$47,16,0)</f>
        <v>1</v>
      </c>
      <c r="F349" s="1">
        <f>Ceny_n!$C$124</f>
        <v>30</v>
      </c>
      <c r="G349" s="1">
        <f>Ceny_n!$C$124</f>
        <v>30</v>
      </c>
      <c r="H349" s="1">
        <f>Ceny_n!$C$124</f>
        <v>30</v>
      </c>
    </row>
    <row r="350" spans="2:35">
      <c r="B350" s="1" t="str">
        <f>Ceny_n!B8</f>
        <v>BRW bílá mat</v>
      </c>
      <c r="C350" s="1">
        <f>VLOOKUP(B:B,Ceny!$B:$D,2,FALSE)</f>
        <v>424.36</v>
      </c>
      <c r="D350" s="1">
        <f>VLOOKUP(B:B,Ceny!$B:$D,3,FALSE)</f>
        <v>112.27</v>
      </c>
      <c r="E350" s="1">
        <f>VLOOKUP(B350,Ceny!$B$6:$Q$47,16,0)</f>
        <v>1</v>
      </c>
      <c r="F350" s="1">
        <f>Ceny_n!$C$124</f>
        <v>30</v>
      </c>
      <c r="G350" s="1">
        <f>Ceny_n!$C$124</f>
        <v>30</v>
      </c>
      <c r="H350" s="1">
        <f>Ceny_n!$C$124</f>
        <v>30</v>
      </c>
      <c r="J350" s="1" t="str">
        <f>Ceny_n!$B$216</f>
        <v>AVENTOS HF</v>
      </c>
    </row>
    <row r="351" spans="2:35">
      <c r="B351" s="1" t="str">
        <f>Ceny_n!B9</f>
        <v>BRW bílá lesk</v>
      </c>
      <c r="C351" s="1">
        <f>VLOOKUP(B:B,Ceny!$B:$D,2,FALSE)</f>
        <v>424.36</v>
      </c>
      <c r="D351" s="1">
        <f>VLOOKUP(B:B,Ceny!$B:$D,3,FALSE)</f>
        <v>112.27</v>
      </c>
      <c r="E351" s="1">
        <f>VLOOKUP(B351,Ceny!$B$6:$Q$47,16,0)</f>
        <v>1</v>
      </c>
      <c r="F351" s="1">
        <f>Ceny_n!$C$124</f>
        <v>30</v>
      </c>
      <c r="G351" s="1">
        <f>Ceny_n!$C$124</f>
        <v>30</v>
      </c>
      <c r="H351" s="1">
        <f>Ceny_n!$C$124</f>
        <v>30</v>
      </c>
      <c r="J351" s="1" t="str">
        <f>Ceny_n!$B$244</f>
        <v>AVENTOS HF Servo Drive</v>
      </c>
    </row>
    <row r="352" spans="2:35">
      <c r="B352" s="1" t="str">
        <f>Ceny_n!B10</f>
        <v>BRW hnědá</v>
      </c>
      <c r="C352" s="1">
        <f>VLOOKUP(B:B,Ceny!$B:$D,2,FALSE)</f>
        <v>340.93</v>
      </c>
      <c r="D352" s="1">
        <f>VLOOKUP(B:B,Ceny!$B:$D,3,FALSE)</f>
        <v>112.27</v>
      </c>
      <c r="E352" s="1">
        <f>VLOOKUP(B352,Ceny!$B$6:$Q$47,16,0)</f>
        <v>1</v>
      </c>
      <c r="F352" s="1">
        <f>Ceny_n!$C$124</f>
        <v>30</v>
      </c>
      <c r="G352" s="1">
        <f>Ceny_n!$C$124</f>
        <v>30</v>
      </c>
      <c r="H352" s="1">
        <f>Ceny_n!$C$124</f>
        <v>30</v>
      </c>
      <c r="J352" s="1" t="str">
        <f>Ceny_n!$B$142</f>
        <v>Aventos ostatní</v>
      </c>
    </row>
    <row r="353" spans="2:10">
      <c r="B353" s="1" t="str">
        <f>Ceny_n!B11</f>
        <v>BRW broušené</v>
      </c>
      <c r="C353" s="1">
        <f>VLOOKUP(B:B,Ceny!$B:$D,2,FALSE)</f>
        <v>391.40000000000003</v>
      </c>
      <c r="D353" s="1">
        <f>VLOOKUP(B:B,Ceny!$B:$D,3,FALSE)</f>
        <v>112.27</v>
      </c>
      <c r="E353" s="1">
        <f>VLOOKUP(B353,Ceny!$B$6:$Q$47,16,0)</f>
        <v>1</v>
      </c>
      <c r="F353" s="1">
        <f>Ceny_n!$C$124</f>
        <v>30</v>
      </c>
      <c r="G353" s="1">
        <f>Ceny_n!$C$124</f>
        <v>30</v>
      </c>
      <c r="H353" s="1">
        <f>Ceny_n!$C$124</f>
        <v>30</v>
      </c>
      <c r="J353" s="1" t="str">
        <f>Ceny_n!B144</f>
        <v>Závěsy se zvedacím pístem</v>
      </c>
    </row>
    <row r="354" spans="2:10">
      <c r="B354" s="1" t="str">
        <f>Ceny_n!B12</f>
        <v>BRW černá mat</v>
      </c>
      <c r="C354" s="1">
        <f>VLOOKUP(B:B,Ceny!$B:$D,2,FALSE)</f>
        <v>340.93</v>
      </c>
      <c r="D354" s="1">
        <f>VLOOKUP(B:B,Ceny!$B:$D,3,FALSE)</f>
        <v>112.27</v>
      </c>
      <c r="E354" s="1">
        <f>VLOOKUP(B354,Ceny!$B$6:$Q$47,16,0)</f>
        <v>1</v>
      </c>
      <c r="F354" s="1">
        <f>Ceny_n!$C$124</f>
        <v>30</v>
      </c>
      <c r="G354" s="1">
        <f>Ceny_n!$C$124</f>
        <v>30</v>
      </c>
      <c r="H354" s="1">
        <f>Ceny_n!$C$124</f>
        <v>30</v>
      </c>
    </row>
    <row r="355" spans="2:10">
      <c r="B355" s="1" t="str">
        <f>Ceny_n!B13</f>
        <v>BRW černá lesk</v>
      </c>
      <c r="C355" s="1">
        <f>VLOOKUP(B:B,Ceny!$B:$D,2,FALSE)</f>
        <v>496.46000000000004</v>
      </c>
      <c r="D355" s="1">
        <f>VLOOKUP(B:B,Ceny!$B:$D,3,FALSE)</f>
        <v>112.27</v>
      </c>
      <c r="E355" s="1">
        <f>VLOOKUP(B355,Ceny!$B$6:$Q$47,16,0)</f>
        <v>1</v>
      </c>
      <c r="F355" s="1">
        <f>Ceny_n!$C$124</f>
        <v>30</v>
      </c>
      <c r="G355" s="1">
        <f>Ceny_n!$C$124</f>
        <v>30</v>
      </c>
      <c r="H355" s="1">
        <f>Ceny_n!$C$124</f>
        <v>30</v>
      </c>
      <c r="J355" s="1" t="str">
        <f>Ceny_n!B145</f>
        <v>Horní dvířko</v>
      </c>
    </row>
    <row r="356" spans="2:10">
      <c r="B356" s="1" t="str">
        <f>Ceny_n!B14</f>
        <v>BRW černá broušená</v>
      </c>
      <c r="C356" s="1">
        <f>VLOOKUP(B:B,Ceny!$B:$D,2,FALSE)</f>
        <v>355.35</v>
      </c>
      <c r="D356" s="1">
        <f>VLOOKUP(B:B,Ceny!$B:$D,3,FALSE)</f>
        <v>112.27</v>
      </c>
      <c r="E356" s="1">
        <f>VLOOKUP(B356,Ceny!$B$6:$Q$47,16,0)</f>
        <v>1</v>
      </c>
      <c r="F356" s="1">
        <f>Ceny_n!$C$124</f>
        <v>30</v>
      </c>
      <c r="G356" s="1">
        <f>Ceny_n!$C$124</f>
        <v>30</v>
      </c>
      <c r="H356" s="1">
        <f>Ceny_n!$C$124</f>
        <v>30</v>
      </c>
      <c r="J356" s="1" t="str">
        <f>Ceny_n!B146</f>
        <v>Spodní dvířko</v>
      </c>
    </row>
    <row r="357" spans="2:10">
      <c r="B357" s="1" t="str">
        <f>Ceny_n!B15</f>
        <v>BRW světlá nerez (ACIER GRATA)</v>
      </c>
      <c r="C357" s="1">
        <f>VLOOKUP(B:B,Ceny!$B:$D,2,FALSE)</f>
        <v>352.26</v>
      </c>
      <c r="D357" s="1">
        <f>VLOOKUP(B:B,Ceny!$B:$D,3,FALSE)</f>
        <v>112.27</v>
      </c>
      <c r="E357" s="1">
        <f>VLOOKUP(B357,Ceny!$B$6:$Q$47,16,0)</f>
        <v>1</v>
      </c>
      <c r="F357" s="1">
        <f>Ceny_n!$C$124</f>
        <v>30</v>
      </c>
      <c r="G357" s="1">
        <f>Ceny_n!$C$124</f>
        <v>30</v>
      </c>
      <c r="H357" s="1">
        <f>Ceny_n!$C$124</f>
        <v>30</v>
      </c>
      <c r="J357" s="1" t="str">
        <f>Ceny_n!B217</f>
        <v>AVENTOS HK TOP</v>
      </c>
    </row>
    <row r="358" spans="2:10">
      <c r="B358" s="1" t="str">
        <f>Ceny_n!B16</f>
        <v>BRW champagne</v>
      </c>
      <c r="C358" s="1">
        <f>VLOOKUP(B:B,Ceny!$B:$D,2,FALSE)</f>
        <v>340.93</v>
      </c>
      <c r="D358" s="1">
        <f>VLOOKUP(B:B,Ceny!$B:$D,3,FALSE)</f>
        <v>112.27</v>
      </c>
      <c r="E358" s="1">
        <f>VLOOKUP(B358,Ceny!$B$6:$Q$47,16,0)</f>
        <v>1</v>
      </c>
      <c r="F358" s="1">
        <f>Ceny_n!$C$124</f>
        <v>30</v>
      </c>
      <c r="G358" s="1">
        <f>Ceny_n!$C$124</f>
        <v>30</v>
      </c>
      <c r="H358" s="1">
        <f>Ceny_n!$C$124</f>
        <v>30</v>
      </c>
      <c r="J358" s="1" t="str">
        <f>Ceny_n!B218</f>
        <v>AVENTOS HKS</v>
      </c>
    </row>
    <row r="359" spans="2:10">
      <c r="B359" s="1" t="str">
        <f>Ceny_n!B17</f>
        <v>BRW tmavá nerez br. (Inox lija)</v>
      </c>
      <c r="C359" s="1">
        <f>VLOOKUP(B:B,Ceny!$B:$D,2,FALSE)</f>
        <v>352.26</v>
      </c>
      <c r="D359" s="1">
        <f>VLOOKUP(B:B,Ceny!$B:$D,3,FALSE)</f>
        <v>112.27</v>
      </c>
      <c r="E359" s="1">
        <f>VLOOKUP(B359,Ceny!$B$6:$Q$47,16,0)</f>
        <v>1</v>
      </c>
      <c r="F359" s="1">
        <f>Ceny_n!$C$124</f>
        <v>30</v>
      </c>
      <c r="G359" s="1">
        <f>Ceny_n!$C$124</f>
        <v>30</v>
      </c>
      <c r="H359" s="1">
        <f>Ceny_n!$C$124</f>
        <v>30</v>
      </c>
      <c r="J359" s="1" t="str">
        <f>Ceny_n!B219</f>
        <v>AVENTOS HL</v>
      </c>
    </row>
    <row r="360" spans="2:10">
      <c r="B360" s="1" t="str">
        <f>Ceny_n!B18</f>
        <v>Corleone (elox.)</v>
      </c>
      <c r="C360" s="1">
        <f>VLOOKUP(B:B,Ceny!$B:$D,2,FALSE)</f>
        <v>391.40000000000003</v>
      </c>
      <c r="D360" s="1">
        <f>VLOOKUP(B:B,Ceny!$B:$D,3,FALSE)</f>
        <v>161.71</v>
      </c>
      <c r="E360" s="1">
        <f>VLOOKUP(B360,Ceny!$B$6:$Q$47,16,0)</f>
        <v>2</v>
      </c>
      <c r="F360" s="1">
        <f>Ceny_n!$C$124</f>
        <v>30</v>
      </c>
      <c r="G360" s="1">
        <f>Ceny_n!$C$124</f>
        <v>30</v>
      </c>
      <c r="H360" s="1">
        <f>Ceny_n!$C$124</f>
        <v>30</v>
      </c>
      <c r="J360" s="1" t="str">
        <f>Ceny_n!B220</f>
        <v>AVENTOS HS</v>
      </c>
    </row>
    <row r="361" spans="2:10">
      <c r="B361" s="1" t="str">
        <f>Ceny_n!B19</f>
        <v>Corleone černé mat</v>
      </c>
      <c r="C361" s="1">
        <f>VLOOKUP(B:B,Ceny!$B:$D,2,FALSE)</f>
        <v>504.7</v>
      </c>
      <c r="D361" s="1">
        <f>VLOOKUP(B:B,Ceny!$B:$D,3,FALSE)</f>
        <v>161.71</v>
      </c>
      <c r="E361" s="1">
        <f>VLOOKUP(B361,Ceny!$B$6:$Q$47,16,0)</f>
        <v>2</v>
      </c>
      <c r="F361" s="1">
        <f>Ceny_n!$C$124</f>
        <v>30</v>
      </c>
      <c r="G361" s="1">
        <f>Ceny_n!$C$124</f>
        <v>30</v>
      </c>
      <c r="H361" s="1">
        <f>Ceny_n!$C$124</f>
        <v>30</v>
      </c>
      <c r="J361" s="1" t="str">
        <f>Ceny_n!B221</f>
        <v>AVENTOS HK-XS</v>
      </c>
    </row>
    <row r="362" spans="2:10">
      <c r="B362" s="1" t="str">
        <f>Ceny_n!B20</f>
        <v>Corleone champagne</v>
      </c>
      <c r="C362" s="1">
        <f>VLOOKUP(B:B,Ceny!$B:$D,2,FALSE)</f>
        <v>504.7</v>
      </c>
      <c r="D362" s="1">
        <f>VLOOKUP(B:B,Ceny!$B:$D,3,FALSE)</f>
        <v>161.71</v>
      </c>
      <c r="E362" s="1">
        <f>VLOOKUP(B362,Ceny!$B$6:$Q$47,16,0)</f>
        <v>2</v>
      </c>
      <c r="F362" s="1">
        <f>Ceny_n!$C$124</f>
        <v>30</v>
      </c>
      <c r="G362" s="1">
        <f>Ceny_n!$C$124</f>
        <v>30</v>
      </c>
      <c r="H362" s="1">
        <f>Ceny_n!$C$124</f>
        <v>30</v>
      </c>
    </row>
    <row r="363" spans="2:10">
      <c r="B363" s="1" t="str">
        <f>Ceny_n!B21</f>
        <v>Imola (elox.)</v>
      </c>
      <c r="C363" s="1">
        <f>VLOOKUP(B:B,Ceny!$B:$D,2,FALSE)</f>
        <v>385.22</v>
      </c>
      <c r="D363" s="1">
        <f>VLOOKUP(B:B,Ceny!$B:$D,3,FALSE)</f>
        <v>156.56</v>
      </c>
      <c r="E363" s="1">
        <f>VLOOKUP(B363,Ceny!$B$6:$Q$47,16,0)</f>
        <v>2</v>
      </c>
      <c r="F363" s="1">
        <f>Ceny_n!$C$124</f>
        <v>30</v>
      </c>
      <c r="G363" s="1">
        <f>Ceny_n!$C$124</f>
        <v>30</v>
      </c>
      <c r="H363" s="1">
        <f>Ceny_n!$C$124</f>
        <v>30</v>
      </c>
      <c r="J363" s="1" t="str">
        <f>Ceny_n!B224</f>
        <v>BLUM</v>
      </c>
    </row>
    <row r="364" spans="2:10">
      <c r="B364" s="1" t="str">
        <f>Ceny_n!B22</f>
        <v>Imola černá mat</v>
      </c>
      <c r="C364" s="1">
        <f>VLOOKUP(B:B,Ceny!$B:$D,2,FALSE)</f>
        <v>504.7</v>
      </c>
      <c r="D364" s="1">
        <f>VLOOKUP(B:B,Ceny!$B:$D,3,FALSE)</f>
        <v>161.71</v>
      </c>
      <c r="E364" s="1">
        <f>VLOOKUP(B364,Ceny!$B$6:$Q$47,16,0)</f>
        <v>2</v>
      </c>
      <c r="F364" s="1">
        <f>Ceny_n!$C$124</f>
        <v>30</v>
      </c>
      <c r="G364" s="1">
        <f>Ceny_n!$C$124</f>
        <v>30</v>
      </c>
      <c r="H364" s="1">
        <f>Ceny_n!$C$124</f>
        <v>30</v>
      </c>
      <c r="J364" s="1" t="str">
        <f>Ceny_n!$B$143</f>
        <v>STRONG s tlumením</v>
      </c>
    </row>
    <row r="365" spans="2:10">
      <c r="B365" s="1" t="str">
        <f>Ceny_n!B23</f>
        <v>Imola bílá mat</v>
      </c>
      <c r="C365" s="1">
        <f>VLOOKUP(B:B,Ceny!$B:$D,2,FALSE)</f>
        <v>780.74</v>
      </c>
      <c r="D365" s="1">
        <f>VLOOKUP(B:B,Ceny!$B:$D,3,FALSE)</f>
        <v>161.71</v>
      </c>
      <c r="E365" s="1">
        <f>VLOOKUP(B365,Ceny!$B$6:$Q$47,16,0)</f>
        <v>2</v>
      </c>
      <c r="F365" s="1">
        <f>Ceny_n!$C$124</f>
        <v>30</v>
      </c>
      <c r="G365" s="1">
        <f>Ceny_n!$C$124</f>
        <v>30</v>
      </c>
      <c r="H365" s="1">
        <f>Ceny_n!$C$124</f>
        <v>30</v>
      </c>
      <c r="J365" s="1" t="str">
        <f>Ceny_n!$B$225</f>
        <v>STRONG bez tlumení</v>
      </c>
    </row>
    <row r="366" spans="2:10">
      <c r="B366" s="1" t="str">
        <f>Ceny_n!B24</f>
        <v>Modena (elox.)</v>
      </c>
      <c r="C366" s="1">
        <f>VLOOKUP(B:B,Ceny!$B:$D,2,FALSE)</f>
        <v>346.08</v>
      </c>
      <c r="D366" s="1">
        <f>VLOOKUP(B:B,Ceny!$B:$D,3,FALSE)</f>
        <v>150.38</v>
      </c>
      <c r="E366" s="1">
        <f>VLOOKUP(B366,Ceny!$B$6:$Q$47,16,0)</f>
        <v>2</v>
      </c>
      <c r="F366" s="1">
        <f>Ceny_n!$C$124</f>
        <v>30</v>
      </c>
      <c r="G366" s="1">
        <f>Ceny_n!$C$124</f>
        <v>30</v>
      </c>
      <c r="H366" s="1">
        <f>Ceny_n!$C$124</f>
        <v>30</v>
      </c>
      <c r="J366" s="1" t="str">
        <f>Ceny_n!$B$226</f>
        <v>HETTICH</v>
      </c>
    </row>
    <row r="367" spans="2:10">
      <c r="B367" s="1" t="str">
        <f>Ceny_n!B25</f>
        <v>Modena černá mat</v>
      </c>
      <c r="C367" s="1">
        <f>VLOOKUP(B:B,Ceny!$B:$D,2,FALSE)</f>
        <v>402.73</v>
      </c>
      <c r="D367" s="1">
        <f>VLOOKUP(B:B,Ceny!$B:$D,3,FALSE)</f>
        <v>150.38</v>
      </c>
      <c r="E367" s="1">
        <f>VLOOKUP(B367,Ceny!$B$6:$Q$47,16,0)</f>
        <v>2</v>
      </c>
      <c r="F367" s="1">
        <f>Ceny_n!$C$124</f>
        <v>30</v>
      </c>
      <c r="G367" s="1">
        <f>Ceny_n!$C$124</f>
        <v>30</v>
      </c>
      <c r="H367" s="1">
        <f>Ceny_n!$C$124</f>
        <v>30</v>
      </c>
      <c r="J367" s="1" t="str">
        <f>Ceny_n!B484</f>
        <v>STRONGHINGES</v>
      </c>
    </row>
    <row r="368" spans="2:10">
      <c r="B368" s="1" t="str">
        <f>Ceny_n!B26</f>
        <v>Modena černá lesk</v>
      </c>
      <c r="C368" s="1">
        <f>VLOOKUP(B:B,Ceny!$B:$D,2,FALSE)</f>
        <v>709.67000000000007</v>
      </c>
      <c r="D368" s="1">
        <f>VLOOKUP(B:B,Ceny!$B:$D,3,FALSE)</f>
        <v>161.71</v>
      </c>
      <c r="E368" s="1">
        <f>VLOOKUP(B368,Ceny!$B$6:$Q$47,16,0)</f>
        <v>2</v>
      </c>
      <c r="F368" s="1">
        <f>Ceny_n!$C$124</f>
        <v>30</v>
      </c>
      <c r="G368" s="1">
        <f>Ceny_n!$C$124</f>
        <v>30</v>
      </c>
      <c r="H368" s="1">
        <f>Ceny_n!$C$124</f>
        <v>30</v>
      </c>
      <c r="J368" s="1" t="str">
        <f>Ceny_n!B186</f>
        <v>Umístění pístů</v>
      </c>
    </row>
    <row r="369" spans="2:10">
      <c r="B369" s="1" t="str">
        <f>Ceny_n!B27</f>
        <v>Modena černá broušená</v>
      </c>
      <c r="C369" s="1">
        <f>VLOOKUP(B:B,Ceny!$B:$D,2,FALSE)</f>
        <v>504.7</v>
      </c>
      <c r="D369" s="1">
        <f>VLOOKUP(B:B,Ceny!$B:$D,3,FALSE)</f>
        <v>150.38</v>
      </c>
      <c r="E369" s="1">
        <f>VLOOKUP(B369,Ceny!$B$6:$Q$47,16,0)</f>
        <v>2</v>
      </c>
      <c r="F369" s="1">
        <f>Ceny_n!$C$124</f>
        <v>30</v>
      </c>
      <c r="G369" s="1">
        <f>Ceny_n!$C$124</f>
        <v>30</v>
      </c>
      <c r="H369" s="1">
        <f>Ceny_n!$C$124</f>
        <v>30</v>
      </c>
      <c r="J369" s="1" t="str">
        <f>Ceny_n!$B$187</f>
        <v xml:space="preserve">Vpravo </v>
      </c>
    </row>
    <row r="370" spans="2:10">
      <c r="B370" s="1" t="str">
        <f>Ceny_n!B28</f>
        <v>Modena tmavá nerez br. (inox lija)</v>
      </c>
      <c r="C370" s="1">
        <f>VLOOKUP(B:B,Ceny!$B:$D,2,FALSE)</f>
        <v>508.82</v>
      </c>
      <c r="D370" s="1">
        <f>VLOOKUP(B:B,Ceny!$B:$D,3,FALSE)</f>
        <v>150.38</v>
      </c>
      <c r="E370" s="1">
        <f>VLOOKUP(B370,Ceny!$B$6:$Q$47,16,0)</f>
        <v>2</v>
      </c>
      <c r="F370" s="1">
        <f>Ceny_n!$C$124</f>
        <v>30</v>
      </c>
      <c r="G370" s="1">
        <f>Ceny_n!$C$124</f>
        <v>30</v>
      </c>
      <c r="H370" s="1">
        <f>Ceny_n!$C$124</f>
        <v>30</v>
      </c>
      <c r="J370" s="1" t="str">
        <f>Ceny_n!$B$188</f>
        <v>Vlevo</v>
      </c>
    </row>
    <row r="371" spans="2:10">
      <c r="B371" s="1" t="str">
        <f>Ceny_n!B29</f>
        <v>Palio (elox.)</v>
      </c>
      <c r="C371" s="1">
        <f>VLOOKUP(B:B,Ceny!$B:$D,2,FALSE)</f>
        <v>380.07</v>
      </c>
      <c r="D371" s="1">
        <f>VLOOKUP(B:B,Ceny!$B:$D,3,FALSE)</f>
        <v>145.22999999999999</v>
      </c>
      <c r="E371" s="1">
        <f>VLOOKUP(B371,Ceny!$B$6:$Q$47,16,0)</f>
        <v>2</v>
      </c>
      <c r="F371" s="1">
        <f>Ceny_n!$C$124</f>
        <v>30</v>
      </c>
      <c r="G371" s="1">
        <f>Ceny_n!$C$124</f>
        <v>30</v>
      </c>
      <c r="H371" s="1">
        <f>Ceny_n!$C$124</f>
        <v>30</v>
      </c>
      <c r="J371" s="1" t="str">
        <f>Ceny_n!$B$189</f>
        <v>2 Kusy (obě strany)</v>
      </c>
    </row>
    <row r="372" spans="2:10">
      <c r="B372" s="1" t="str">
        <f>Ceny_n!B30</f>
        <v>Pisa (elox.)</v>
      </c>
      <c r="C372" s="1">
        <f>VLOOKUP(B:B,Ceny!$B:$D,2,FALSE)</f>
        <v>370.8</v>
      </c>
      <c r="D372" s="1">
        <f>VLOOKUP(B:B,Ceny!$B:$D,3,FALSE)</f>
        <v>161.71</v>
      </c>
      <c r="E372" s="1">
        <f>VLOOKUP(B372,Ceny!$B$6:$Q$47,16,0)</f>
        <v>2</v>
      </c>
      <c r="F372" s="1">
        <f>Ceny_n!$C$124</f>
        <v>30</v>
      </c>
      <c r="G372" s="1">
        <f>Ceny_n!$C$124</f>
        <v>30</v>
      </c>
      <c r="H372" s="1">
        <f>Ceny_n!$C$124</f>
        <v>30</v>
      </c>
      <c r="J372" s="1" t="str">
        <f>Ceny_n!$B$247</f>
        <v>AVENTOS HK TOP Servo Drive</v>
      </c>
    </row>
    <row r="373" spans="2:10">
      <c r="B373" s="1" t="str">
        <f>Ceny_n!B31</f>
        <v>Pisa černá mat</v>
      </c>
      <c r="C373" s="1">
        <f>VLOOKUP(B:B,Ceny!$B:$D,2,FALSE)</f>
        <v>469.68</v>
      </c>
      <c r="D373" s="1">
        <f>VLOOKUP(B:B,Ceny!$B:$D,3,FALSE)</f>
        <v>161.71</v>
      </c>
      <c r="E373" s="1">
        <f>VLOOKUP(B373,Ceny!$B$6:$Q$47,16,0)</f>
        <v>2</v>
      </c>
      <c r="F373" s="1">
        <f>Ceny_n!$C$124</f>
        <v>30</v>
      </c>
      <c r="G373" s="1">
        <f>Ceny_n!$C$124</f>
        <v>30</v>
      </c>
      <c r="H373" s="1">
        <f>Ceny_n!$C$124</f>
        <v>30</v>
      </c>
      <c r="J373" s="1" t="str">
        <f>Ceny_n!B242</f>
        <v>Hmotnost úchytky (g)</v>
      </c>
    </row>
    <row r="374" spans="2:10">
      <c r="B374" s="1" t="str">
        <f>Ceny_n!B32</f>
        <v>Pisa černá lesk</v>
      </c>
      <c r="C374" s="1">
        <f>VLOOKUP(B:B,Ceny!$B:$D,2,FALSE)</f>
        <v>709.67000000000007</v>
      </c>
      <c r="D374" s="1">
        <f>VLOOKUP(B:B,Ceny!$B:$D,3,FALSE)</f>
        <v>161.71</v>
      </c>
      <c r="E374" s="1">
        <f>VLOOKUP(B374,Ceny!$B$6:$Q$47,16,0)</f>
        <v>2</v>
      </c>
      <c r="F374" s="1">
        <f>Ceny_n!$C$124</f>
        <v>30</v>
      </c>
      <c r="G374" s="1">
        <f>Ceny_n!$C$124</f>
        <v>30</v>
      </c>
      <c r="H374" s="1">
        <f>Ceny_n!$C$124</f>
        <v>30</v>
      </c>
      <c r="J374" s="1" t="str">
        <f>Ceny_n!B241</f>
        <v>Typ ramene</v>
      </c>
    </row>
    <row r="375" spans="2:10">
      <c r="B375" s="1" t="str">
        <f>Ceny_n!B33</f>
        <v>Ravena (elox.)</v>
      </c>
      <c r="C375" s="1">
        <f>VLOOKUP(B:B,Ceny!$B:$D,2,FALSE)</f>
        <v>278.10000000000002</v>
      </c>
      <c r="D375" s="1">
        <f>VLOOKUP(B:B,Ceny!$B:$D,3,FALSE)</f>
        <v>112.27</v>
      </c>
      <c r="E375" s="1">
        <f>VLOOKUP(B375,Ceny!$B$6:$Q$47,16,0)</f>
        <v>1</v>
      </c>
      <c r="F375" s="1">
        <f>Ceny_n!$C$124</f>
        <v>30</v>
      </c>
      <c r="G375" s="1">
        <f>Ceny_n!$C$124</f>
        <v>30</v>
      </c>
      <c r="H375" s="1">
        <f>Ceny_n!$C$124</f>
        <v>30</v>
      </c>
      <c r="J375" s="1" t="str">
        <f>Ceny_n!$B$180</f>
        <v>Typ závěsů</v>
      </c>
    </row>
    <row r="376" spans="2:10">
      <c r="B376" s="1" t="str">
        <f>Ceny_n!B34</f>
        <v>Siena (elox.)</v>
      </c>
      <c r="C376" s="1">
        <f>VLOOKUP(B:B,Ceny!$B:$D,2,FALSE)</f>
        <v>380.07</v>
      </c>
      <c r="D376" s="1">
        <f>VLOOKUP(B:B,Ceny!$B:$D,3,FALSE)</f>
        <v>145.22999999999999</v>
      </c>
      <c r="E376" s="1">
        <f>VLOOKUP(B376,Ceny!$B$6:$Q$47,16,0)</f>
        <v>2</v>
      </c>
      <c r="F376" s="1">
        <f>Ceny_n!$C$124</f>
        <v>30</v>
      </c>
      <c r="G376" s="1">
        <f>Ceny_n!$C$124</f>
        <v>30</v>
      </c>
      <c r="H376" s="1">
        <f>Ceny_n!$C$124</f>
        <v>30</v>
      </c>
      <c r="J376" s="1" t="str">
        <f>Ceny_n!$B$190</f>
        <v>Provedení druhého dvířka</v>
      </c>
    </row>
    <row r="377" spans="2:10">
      <c r="B377" s="1" t="str">
        <f>Ceny_n!B35</f>
        <v>Verona (elox.)</v>
      </c>
      <c r="C377" s="1">
        <f>VLOOKUP(B:B,Ceny!$B:$D,2,FALSE)</f>
        <v>257.5</v>
      </c>
      <c r="D377" s="1">
        <f>VLOOKUP(B:B,Ceny!$B:$D,3,FALSE)</f>
        <v>92.7</v>
      </c>
      <c r="E377" s="1">
        <f>VLOOKUP(B377,Ceny!$B$6:$Q$47,16,0)</f>
        <v>1</v>
      </c>
      <c r="F377" s="1">
        <f>Ceny_n!$C$124</f>
        <v>30</v>
      </c>
      <c r="G377" s="1">
        <f>Ceny_n!$C$124</f>
        <v>30</v>
      </c>
      <c r="H377" s="1">
        <f>Ceny_n!$C$124</f>
        <v>30</v>
      </c>
      <c r="J377" s="1" t="str">
        <f>Ceny_n!$B$178</f>
        <v>Výběr pozice rámečku</v>
      </c>
    </row>
    <row r="378" spans="2:10">
      <c r="B378" s="1" t="str">
        <f>Ceny_n!B36</f>
        <v>Verona broušený hliník</v>
      </c>
      <c r="C378" s="1">
        <f>VLOOKUP(B:B,Ceny!$B:$D,2,FALSE)</f>
        <v>447.02000000000004</v>
      </c>
      <c r="D378" s="1">
        <f>VLOOKUP(B:B,Ceny!$B:$D,3,FALSE)</f>
        <v>112.27</v>
      </c>
      <c r="E378" s="1">
        <f>VLOOKUP(B378,Ceny!$B$6:$Q$47,16,0)</f>
        <v>1</v>
      </c>
      <c r="F378" s="1">
        <f>Ceny_n!$C$124</f>
        <v>30</v>
      </c>
      <c r="G378" s="1">
        <f>Ceny_n!$C$124</f>
        <v>30</v>
      </c>
      <c r="H378" s="1">
        <f>Ceny_n!$C$124</f>
        <v>30</v>
      </c>
      <c r="J378" s="1" t="str">
        <f>Ceny_n!$B$179</f>
        <v>Výrobce závěsů</v>
      </c>
    </row>
    <row r="379" spans="2:10">
      <c r="B379" s="1" t="str">
        <f>Ceny_n!B37</f>
        <v>Verona černá lesk</v>
      </c>
      <c r="C379" s="1">
        <f>VLOOKUP(B:B,Ceny!$B:$D,2,FALSE)</f>
        <v>373.89</v>
      </c>
      <c r="D379" s="1">
        <f>VLOOKUP(B:B,Ceny!$B:$D,3,FALSE)</f>
        <v>112.27</v>
      </c>
      <c r="E379" s="1">
        <f>VLOOKUP(B379,Ceny!$B$6:$Q$47,16,0)</f>
        <v>1</v>
      </c>
      <c r="F379" s="1">
        <f>Ceny_n!$C$124</f>
        <v>30</v>
      </c>
      <c r="G379" s="1">
        <f>Ceny_n!$C$124</f>
        <v>30</v>
      </c>
      <c r="H379" s="1">
        <f>Ceny_n!$C$124</f>
        <v>30</v>
      </c>
      <c r="J379" s="1" t="str">
        <f>Ceny_n!$B$181</f>
        <v>Typ Aventosu</v>
      </c>
    </row>
    <row r="380" spans="2:10">
      <c r="B380" s="1" t="str">
        <f>Ceny_n!B38</f>
        <v>Verona černá mat</v>
      </c>
      <c r="C380" s="1">
        <f>VLOOKUP(B:B,Ceny!$B:$D,2,FALSE)</f>
        <v>373.89</v>
      </c>
      <c r="D380" s="1">
        <f>VLOOKUP(B:B,Ceny!$B:$D,3,FALSE)</f>
        <v>112.27</v>
      </c>
      <c r="E380" s="1">
        <f>VLOOKUP(B380,Ceny!$B$6:$Q$47,16,0)</f>
        <v>1</v>
      </c>
      <c r="F380" s="1">
        <f>Ceny_n!$C$124</f>
        <v>30</v>
      </c>
      <c r="G380" s="1">
        <f>Ceny_n!$C$124</f>
        <v>30</v>
      </c>
      <c r="H380" s="1">
        <f>Ceny_n!$C$124</f>
        <v>30</v>
      </c>
      <c r="J380" s="1" t="str">
        <f>Ceny_n!$B$182</f>
        <v>Typ podložky</v>
      </c>
    </row>
    <row r="381" spans="2:10">
      <c r="B381" s="1" t="str">
        <f>Ceny_n!B39</f>
        <v>Verona hnědá</v>
      </c>
      <c r="C381" s="1">
        <f>VLOOKUP(B:B,Ceny!$B:$D,2,FALSE)</f>
        <v>373.89</v>
      </c>
      <c r="D381" s="1">
        <f>VLOOKUP(B:B,Ceny!$B:$D,3,FALSE)</f>
        <v>112.27</v>
      </c>
      <c r="E381" s="1">
        <f>VLOOKUP(B381,Ceny!$B$6:$Q$47,16,0)</f>
        <v>1</v>
      </c>
      <c r="F381" s="1">
        <f>Ceny_n!$C$124</f>
        <v>30</v>
      </c>
      <c r="G381" s="1">
        <f>Ceny_n!$C$124</f>
        <v>30</v>
      </c>
      <c r="H381" s="1">
        <f>Ceny_n!$C$124</f>
        <v>30</v>
      </c>
      <c r="J381" s="1" t="str">
        <f>Ceny_n!$B$248</f>
        <v>AVENTOS HL Servo Drive</v>
      </c>
    </row>
    <row r="382" spans="2:10">
      <c r="B382" s="1" t="str">
        <f>Ceny_n!B40</f>
        <v>Verona champagne</v>
      </c>
      <c r="C382" s="1">
        <f>VLOOKUP(B:B,Ceny!$B:$D,2,FALSE)</f>
        <v>346.08</v>
      </c>
      <c r="D382" s="1">
        <f>VLOOKUP(B:B,Ceny!$B:$D,3,FALSE)</f>
        <v>112.27</v>
      </c>
      <c r="E382" s="1">
        <f>VLOOKUP(B382,Ceny!$B$6:$Q$47,16,0)</f>
        <v>1</v>
      </c>
      <c r="F382" s="1">
        <f>Ceny_n!$C$124</f>
        <v>30</v>
      </c>
      <c r="G382" s="1">
        <f>Ceny_n!$C$124</f>
        <v>30</v>
      </c>
      <c r="H382" s="1">
        <f>Ceny_n!$C$124</f>
        <v>30</v>
      </c>
      <c r="J382" s="1" t="str">
        <f>Ceny_n!$B$183</f>
        <v>Počet závěsu na 1 rámeček</v>
      </c>
    </row>
    <row r="383" spans="2:10">
      <c r="B383" s="1" t="str">
        <f>Ceny_n!B41</f>
        <v>Verona tmavá nerez broušená</v>
      </c>
      <c r="C383" s="1">
        <f>VLOOKUP(B:B,Ceny!$B:$D,2,FALSE)</f>
        <v>458.35</v>
      </c>
      <c r="D383" s="1">
        <f>VLOOKUP(B:B,Ceny!$B:$D,3,FALSE)</f>
        <v>112.27</v>
      </c>
      <c r="E383" s="1">
        <f>VLOOKUP(B383,Ceny!$B$6:$Q$47,16,0)</f>
        <v>1</v>
      </c>
      <c r="F383" s="1">
        <f>Ceny_n!$C$124</f>
        <v>30</v>
      </c>
      <c r="G383" s="1">
        <f>Ceny_n!$C$124</f>
        <v>30</v>
      </c>
      <c r="H383" s="1">
        <f>Ceny_n!$C$124</f>
        <v>30</v>
      </c>
      <c r="J383" s="1" t="str">
        <f>Ceny_n!$B$200</f>
        <v>Vzdálenost závěsu od kraje</v>
      </c>
    </row>
    <row r="384" spans="2:10">
      <c r="B384" s="1" t="str">
        <f>Ceny_n!B42</f>
        <v>Verona světlá nerez (Acier grata)</v>
      </c>
      <c r="C384" s="1">
        <f>VLOOKUP(B:B,Ceny!$B:$D,2,FALSE)</f>
        <v>458.35</v>
      </c>
      <c r="D384" s="1">
        <f>VLOOKUP(B:B,Ceny!$B:$D,3,FALSE)</f>
        <v>112.27</v>
      </c>
      <c r="E384" s="1">
        <f>VLOOKUP(B384,Ceny!$B$6:$Q$47,16,0)</f>
        <v>1</v>
      </c>
      <c r="F384" s="1">
        <f>Ceny_n!$C$124</f>
        <v>30</v>
      </c>
      <c r="G384" s="1">
        <f>Ceny_n!$C$124</f>
        <v>30</v>
      </c>
      <c r="H384" s="1">
        <f>Ceny_n!$C$124</f>
        <v>30</v>
      </c>
      <c r="J384" s="1" t="str">
        <f>Ceny_n!$B$191</f>
        <v>Úzký ALU rámeček</v>
      </c>
    </row>
    <row r="385" spans="2:10">
      <c r="B385" s="1" t="str">
        <f>Ceny_n!B43</f>
        <v>Vivaro (elox.)</v>
      </c>
      <c r="C385" s="1">
        <f>VLOOKUP(B:B,Ceny!$B:$D,2,FALSE)</f>
        <v>373.89</v>
      </c>
      <c r="D385" s="1">
        <f>VLOOKUP(B:B,Ceny!$B:$D,3,FALSE)</f>
        <v>156.56</v>
      </c>
      <c r="E385" s="1">
        <f>VLOOKUP(B385,Ceny!$B$6:$Q$47,16,0)</f>
        <v>2</v>
      </c>
      <c r="F385" s="1">
        <f>Ceny_n!$C$124</f>
        <v>30</v>
      </c>
      <c r="G385" s="1">
        <f>Ceny_n!$C$124</f>
        <v>30</v>
      </c>
      <c r="H385" s="1">
        <f>Ceny_n!$C$124</f>
        <v>30</v>
      </c>
      <c r="J385" s="1" t="str">
        <f>Ceny_n!$B$178</f>
        <v>Výběr pozice rámečku</v>
      </c>
    </row>
    <row r="386" spans="2:10">
      <c r="B386" s="1" t="str">
        <f>Ceny_n!B44</f>
        <v>Vivaro černá mat</v>
      </c>
      <c r="C386" s="1">
        <f>VLOOKUP(B:B,Ceny!$B:$D,2,FALSE)</f>
        <v>473.8</v>
      </c>
      <c r="D386" s="1">
        <f>VLOOKUP(B:B,Ceny!$B:$D,3,FALSE)</f>
        <v>156.56</v>
      </c>
      <c r="E386" s="1">
        <f>VLOOKUP(B386,Ceny!$B$6:$Q$47,16,0)</f>
        <v>2</v>
      </c>
      <c r="F386" s="1">
        <f>Ceny_n!$C$124</f>
        <v>30</v>
      </c>
      <c r="G386" s="1">
        <f>Ceny_n!$C$124</f>
        <v>30</v>
      </c>
      <c r="H386" s="1">
        <f>Ceny_n!$C$124</f>
        <v>30</v>
      </c>
      <c r="J386" s="1" t="str">
        <f>Ceny_n!B291</f>
        <v>Umístění ramene</v>
      </c>
    </row>
    <row r="387" spans="2:10">
      <c r="B387" s="1" t="str">
        <f>Ceny_n!B45</f>
        <v>Vivaro tmavá nerez br. (inox lija)</v>
      </c>
      <c r="C387" s="1">
        <f>VLOOKUP(B:B,Ceny!$B:$D,2,FALSE)</f>
        <v>525.30000000000007</v>
      </c>
      <c r="D387" s="1">
        <f>VLOOKUP(B:B,Ceny!$B:$D,3,FALSE)</f>
        <v>156.56</v>
      </c>
      <c r="E387" s="1">
        <f>VLOOKUP(B387,Ceny!$B$6:$Q$47,16,0)</f>
        <v>2</v>
      </c>
      <c r="F387" s="1">
        <f>Ceny_n!$C$124</f>
        <v>30</v>
      </c>
      <c r="G387" s="1">
        <f>Ceny_n!$C$124</f>
        <v>30</v>
      </c>
      <c r="H387" s="1">
        <f>Ceny_n!$C$124</f>
        <v>30</v>
      </c>
      <c r="J387" s="1" t="str">
        <f>Ceny_n!$B$192</f>
        <v>Široký ALU rámeček</v>
      </c>
    </row>
    <row r="388" spans="2:10">
      <c r="B388" s="1" t="str">
        <f>Ceny_n!B46</f>
        <v>Vivaro bílá mat</v>
      </c>
      <c r="C388" s="1">
        <f>VLOOKUP(B:B,Ceny!$B:$D,2,FALSE)</f>
        <v>473.8</v>
      </c>
      <c r="D388" s="1">
        <f>VLOOKUP(B:B,Ceny!$B:$D,3,FALSE)</f>
        <v>156.56</v>
      </c>
      <c r="E388" s="1">
        <f>VLOOKUP(B388,Ceny!$B$6:$Q$47,16,0)</f>
        <v>2</v>
      </c>
      <c r="F388" s="1">
        <f>Ceny_n!$C$124</f>
        <v>30</v>
      </c>
      <c r="G388" s="1">
        <f>Ceny_n!$C$124</f>
        <v>30</v>
      </c>
      <c r="H388" s="1">
        <f>Ceny_n!$C$124</f>
        <v>30</v>
      </c>
      <c r="J388" s="1" t="str">
        <f>Ceny_n!$B$193</f>
        <v>MDF tloušťky 16 mm</v>
      </c>
    </row>
    <row r="389" spans="2:10">
      <c r="B389" s="1" t="str">
        <f>Ceny_n!B47</f>
        <v>Vivaro bílá lesk</v>
      </c>
      <c r="C389" s="1">
        <f>VLOOKUP(B:B,Ceny!$B:$D,2,FALSE)</f>
        <v>473.8</v>
      </c>
      <c r="D389" s="1">
        <f>VLOOKUP(B:B,Ceny!$B:$D,3,FALSE)</f>
        <v>156.56</v>
      </c>
      <c r="E389" s="1">
        <f>VLOOKUP(B389,Ceny!$B$6:$Q$47,16,0)</f>
        <v>2</v>
      </c>
      <c r="F389" s="1">
        <f>Ceny_n!$C$124</f>
        <v>30</v>
      </c>
      <c r="G389" s="1">
        <f>Ceny_n!$C$124</f>
        <v>30</v>
      </c>
      <c r="H389" s="1">
        <f>Ceny_n!$C$124</f>
        <v>30</v>
      </c>
      <c r="J389" s="1" t="str">
        <f>Ceny_n!$B$194</f>
        <v>MDF tloušťky 18 mm</v>
      </c>
    </row>
    <row r="390" spans="2:10">
      <c r="B390" s="1">
        <f>Ceny_n!B49</f>
        <v>0</v>
      </c>
      <c r="C390" s="1">
        <f>VLOOKUP(B:B,Ceny!$B:$D,2,FALSE)</f>
        <v>0</v>
      </c>
      <c r="D390" s="1">
        <f>VLOOKUP(B:B,Ceny!$B:$D,3,FALSE)</f>
        <v>0</v>
      </c>
      <c r="E390" s="1" t="e">
        <f>VLOOKUP(B390,Ceny!$B$6:$Q$47,16,0)</f>
        <v>#N/A</v>
      </c>
      <c r="F390" s="1">
        <f>Ceny_n!$C$124</f>
        <v>30</v>
      </c>
      <c r="G390" s="1">
        <f>Ceny_n!$C$124</f>
        <v>30</v>
      </c>
      <c r="H390" s="1">
        <f>Ceny_n!$C$124</f>
        <v>30</v>
      </c>
      <c r="J390" s="1" t="str">
        <f>Ceny_n!$B$195</f>
        <v>DTDL tloušťky 18 mm</v>
      </c>
    </row>
    <row r="391" spans="2:10">
      <c r="B391" s="1">
        <f>Ceny_n!B49</f>
        <v>0</v>
      </c>
      <c r="C391" s="1">
        <f>VLOOKUP(B:B,Ceny!$B:$D,2,FALSE)</f>
        <v>0</v>
      </c>
      <c r="D391" s="1">
        <f>VLOOKUP(B:B,Ceny!$B:$D,3,FALSE)</f>
        <v>0</v>
      </c>
      <c r="E391" s="1" t="e">
        <f>VLOOKUP(B391,Ceny!$B$6:$Q$47,16,0)</f>
        <v>#N/A</v>
      </c>
      <c r="F391" s="1">
        <f>Ceny_n!$C$124</f>
        <v>30</v>
      </c>
      <c r="G391" s="1">
        <f>Ceny_n!$C$124</f>
        <v>30</v>
      </c>
      <c r="H391" s="1">
        <f>Ceny_n!$C$124</f>
        <v>30</v>
      </c>
      <c r="J391" s="1" t="str">
        <f>Ceny_n!$B$222</f>
        <v>AVENTOS HK-XS TIP-ON</v>
      </c>
    </row>
    <row r="392" spans="2:10">
      <c r="J392" s="1" t="str">
        <f>Ceny_n!$B$245</f>
        <v>AVENTOS HK TOP TIP ON</v>
      </c>
    </row>
    <row r="393" spans="2:10">
      <c r="B393" s="1">
        <f>Ceny_n!B49</f>
        <v>0</v>
      </c>
      <c r="J393" s="1" t="str">
        <f>Ceny_n!$B$249</f>
        <v>AVENTOS HS Servo Drive</v>
      </c>
    </row>
    <row r="394" spans="2:10">
      <c r="B394" s="1">
        <f>Ceny_n!B50</f>
        <v>0</v>
      </c>
      <c r="J394" s="1" t="str">
        <f>Ceny_n!$B$246</f>
        <v>AVENTOS HKS TIP ON</v>
      </c>
    </row>
    <row r="395" spans="2:10">
      <c r="B395" s="1" t="str">
        <f>Ceny_n!B51</f>
        <v>Sklo</v>
      </c>
      <c r="J395" s="1" t="str">
        <f>Ceny_n!$B$197</f>
        <v>Nahoře</v>
      </c>
    </row>
    <row r="396" spans="2:10">
      <c r="B396" s="1" t="str">
        <f>Ceny_n!B52</f>
        <v>Čiré</v>
      </c>
      <c r="J396" s="1" t="str">
        <f>Ceny_n!$B$198</f>
        <v>Dole</v>
      </c>
    </row>
    <row r="397" spans="2:10">
      <c r="B397" s="1" t="str">
        <f>Ceny_n!B53</f>
        <v>Čiré kalené (dodání 3 týdny)</v>
      </c>
    </row>
    <row r="398" spans="2:10">
      <c r="B398" s="1" t="str">
        <f>Ceny_n!B54</f>
        <v>Satinato</v>
      </c>
    </row>
    <row r="399" spans="2:10">
      <c r="B399" s="1" t="str">
        <f>Ceny_n!B55</f>
        <v>Satinato kalené (dodání 3 týdny)</v>
      </c>
    </row>
    <row r="400" spans="2:10">
      <c r="B400" s="1" t="str">
        <f>Ceny_n!B56</f>
        <v>Satinato hnědé</v>
      </c>
    </row>
    <row r="401" spans="2:4">
      <c r="B401" s="1" t="str">
        <f>Ceny_n!B57</f>
        <v>Satinato grafit</v>
      </c>
    </row>
    <row r="403" spans="2:4">
      <c r="B403" s="1" t="e">
        <f>Ceny_n!#REF!</f>
        <v>#REF!</v>
      </c>
      <c r="C403" s="1" t="e">
        <f>VLOOKUP(B:B,Ceny!$B$51:$P$116,2,FALSE)</f>
        <v>#REF!</v>
      </c>
      <c r="D403" s="1" t="e">
        <f>Ceny_n!#REF!</f>
        <v>#REF!</v>
      </c>
    </row>
    <row r="404" spans="2:4">
      <c r="B404" s="1" t="str">
        <f>Ceny_n!B51</f>
        <v>Sklo</v>
      </c>
      <c r="C404" s="1" t="str">
        <f>Ceny_n!C51</f>
        <v>ZC nová</v>
      </c>
      <c r="D404" s="1">
        <f>Ceny_n!D51</f>
        <v>0</v>
      </c>
    </row>
    <row r="405" spans="2:4">
      <c r="B405" s="1" t="str">
        <f>Ceny_n!B52</f>
        <v>Čiré</v>
      </c>
      <c r="C405" s="1">
        <f>VLOOKUP(B:B,Ceny!$B$51:$P$116,2,FALSE)</f>
        <v>504.7</v>
      </c>
      <c r="D405" s="1" t="str">
        <f>Ceny_n!B60</f>
        <v>Stopsol bronz</v>
      </c>
    </row>
    <row r="406" spans="2:4">
      <c r="B406" s="1" t="str">
        <f>Ceny_n!B53</f>
        <v>Čiré kalené (dodání 3 týdny)</v>
      </c>
      <c r="C406" s="1">
        <f>VLOOKUP(B:B,Ceny!$B$51:$P$116,2,FALSE)</f>
        <v>1019.7</v>
      </c>
      <c r="D406" s="1" t="str">
        <f>Ceny_n!B61</f>
        <v>Lakomat</v>
      </c>
    </row>
    <row r="407" spans="2:4">
      <c r="B407" s="1" t="str">
        <f>Ceny_n!B54</f>
        <v>Satinato</v>
      </c>
      <c r="C407" s="1">
        <f>VLOOKUP(B:B,Ceny!$B$51:$P$116,2,FALSE)</f>
        <v>1442</v>
      </c>
      <c r="D407" s="1" t="str">
        <f>Ceny_n!B62</f>
        <v>Pisek</v>
      </c>
    </row>
    <row r="408" spans="2:4">
      <c r="B408" s="1" t="str">
        <f>Ceny_n!B55</f>
        <v>Satinato kalené (dodání 3 týdny)</v>
      </c>
      <c r="C408" s="1">
        <f>VLOOKUP(B:B,Ceny!$B$51:$P$116,2,FALSE)</f>
        <v>2214.5</v>
      </c>
      <c r="D408" s="1" t="str">
        <f>Ceny_n!B63</f>
        <v>Antisol bronz</v>
      </c>
    </row>
    <row r="409" spans="2:4">
      <c r="B409" s="1" t="str">
        <f>Ceny_n!B56</f>
        <v>Satinato hnědé</v>
      </c>
      <c r="C409" s="1">
        <f>VLOOKUP(B:B,Ceny!$B$51:$P$116,2,FALSE)</f>
        <v>1810.74</v>
      </c>
      <c r="D409" s="1" t="str">
        <f>Ceny_n!B64</f>
        <v>Antisol grafit</v>
      </c>
    </row>
    <row r="410" spans="2:4">
      <c r="B410" s="1" t="str">
        <f>Ceny_n!B57</f>
        <v>Satinato grafit</v>
      </c>
      <c r="C410" s="1">
        <f>VLOOKUP(B:B,Ceny!$B$51:$P$116,2,FALSE)</f>
        <v>1810.74</v>
      </c>
      <c r="D410" s="1" t="str">
        <f>Ceny_n!B65</f>
        <v>Zrcadlo</v>
      </c>
    </row>
    <row r="411" spans="2:4">
      <c r="B411" s="1" t="str">
        <f>Ceny_n!B58</f>
        <v>Screen</v>
      </c>
      <c r="C411" s="1">
        <f>VLOOKUP(B:B,Ceny!$B$51:$P$116,2,FALSE)</f>
        <v>1419.3400000000001</v>
      </c>
      <c r="D411" s="1" t="str">
        <f>Ceny_n!B66</f>
        <v>Zrcadlo hnědé</v>
      </c>
    </row>
    <row r="412" spans="2:4">
      <c r="B412" s="1" t="str">
        <f>Ceny_n!B59</f>
        <v>Venus VG10</v>
      </c>
      <c r="C412" s="1">
        <f>VLOOKUP(B:B,Ceny!$B$51:$P$116,2,FALSE)</f>
        <v>2639.89</v>
      </c>
      <c r="D412" s="1" t="str">
        <f>Ceny_n!B67</f>
        <v>Zrcadlo grafit</v>
      </c>
    </row>
    <row r="413" spans="2:4">
      <c r="B413" s="1" t="str">
        <f>Ceny_n!B60</f>
        <v>Stopsol bronz</v>
      </c>
      <c r="C413" s="1">
        <f>VLOOKUP(B:B,Ceny!$B$51:$P$116,2,FALSE)</f>
        <v>2414.3200000000002</v>
      </c>
      <c r="D413" s="1" t="str">
        <f>Ceny_n!B68</f>
        <v>Zrcadlo + bezpečnostní fólie</v>
      </c>
    </row>
    <row r="414" spans="2:4">
      <c r="B414" s="1" t="str">
        <f>Ceny_n!B61</f>
        <v>Lakomat</v>
      </c>
      <c r="C414" s="1">
        <f>VLOOKUP(B:B,Ceny!$B$51:$P$116,2,FALSE)</f>
        <v>1341.06</v>
      </c>
      <c r="D414" s="1" t="str">
        <f>Ceny_n!B69</f>
        <v>Krizet</v>
      </c>
    </row>
    <row r="415" spans="2:4">
      <c r="B415" s="1" t="str">
        <f>Ceny_n!B62</f>
        <v>Pisek</v>
      </c>
      <c r="C415" s="1">
        <f>VLOOKUP(B:B,Ceny!$B$51:$P$116,2,FALSE)</f>
        <v>1117.55</v>
      </c>
      <c r="D415" s="1" t="str">
        <f>Ceny_n!B70</f>
        <v>Master (Carre)</v>
      </c>
    </row>
    <row r="416" spans="2:4">
      <c r="B416" s="1" t="str">
        <f>Ceny_n!B63</f>
        <v>Antisol bronz</v>
      </c>
      <c r="C416" s="1">
        <f>VLOOKUP(B:B,Ceny!$B$51:$P$116,2,FALSE)</f>
        <v>927</v>
      </c>
      <c r="D416" s="1" t="str">
        <f>Ceny_n!B71</f>
        <v xml:space="preserve">Master  Lens </v>
      </c>
    </row>
    <row r="417" spans="2:4">
      <c r="B417" s="1" t="str">
        <f>Ceny_n!B64</f>
        <v>Antisol grafit</v>
      </c>
      <c r="C417" s="1">
        <f>VLOOKUP(B:B,Ceny!$B$51:$P$116,2,FALSE)</f>
        <v>927</v>
      </c>
      <c r="D417" s="1" t="str">
        <f>Ceny_n!B72</f>
        <v>Master  Ligne</v>
      </c>
    </row>
    <row r="418" spans="2:4">
      <c r="B418" s="1" t="str">
        <f>Ceny_n!B65</f>
        <v>Zrcadlo</v>
      </c>
      <c r="C418" s="1">
        <f>VLOOKUP(B:B,Ceny!$B$51:$P$116,2,FALSE)</f>
        <v>844.6</v>
      </c>
      <c r="D418" s="1" t="str">
        <f>Ceny_n!B73</f>
        <v>Master  Point</v>
      </c>
    </row>
    <row r="419" spans="2:4">
      <c r="B419" s="1" t="str">
        <f>Ceny_n!B66</f>
        <v>Zrcadlo hnědé</v>
      </c>
      <c r="C419" s="1">
        <f>VLOOKUP(B:B,Ceny!$B$51:$P$116,2,FALSE)</f>
        <v>1128.8800000000001</v>
      </c>
      <c r="D419" s="1" t="str">
        <f>Ceny_n!B74</f>
        <v xml:space="preserve">Master  Ray </v>
      </c>
    </row>
    <row r="420" spans="2:4">
      <c r="B420" s="1" t="str">
        <f>Ceny_n!B67</f>
        <v>Zrcadlo grafit</v>
      </c>
      <c r="C420" s="1">
        <f>VLOOKUP(B:B,Ceny!$B$51:$P$116,2,FALSE)</f>
        <v>1128.8800000000001</v>
      </c>
      <c r="D420" s="1" t="str">
        <f>Ceny_n!B75</f>
        <v>Master  Shine</v>
      </c>
    </row>
    <row r="421" spans="2:4">
      <c r="B421" s="1" t="str">
        <f>Ceny_n!B68</f>
        <v>Zrcadlo + bezpečnostní fólie</v>
      </c>
      <c r="C421" s="1">
        <f>VLOOKUP(B:B,Ceny!$B$51:$P$116,2,FALSE)</f>
        <v>952.75</v>
      </c>
      <c r="D421" s="1" t="str">
        <f>Ceny_n!B76</f>
        <v>Lacobel RAL 1013</v>
      </c>
    </row>
    <row r="422" spans="2:4">
      <c r="B422" s="1" t="str">
        <f>Ceny_n!B69</f>
        <v>Krizet</v>
      </c>
      <c r="C422" s="1">
        <f>VLOOKUP(B:B,Ceny!$B$51:$P$116,2,FALSE)</f>
        <v>1419.3400000000001</v>
      </c>
      <c r="D422" s="1" t="str">
        <f>Ceny_n!B77</f>
        <v>Lacobel RAL 1014</v>
      </c>
    </row>
    <row r="423" spans="2:4">
      <c r="B423" s="1" t="str">
        <f>Ceny_n!B70</f>
        <v>Master (Carre)</v>
      </c>
      <c r="C423" s="1">
        <f>VLOOKUP(B:B,Ceny!$B$51:$P$116,2,FALSE)</f>
        <v>1419.3400000000001</v>
      </c>
      <c r="D423" s="1" t="str">
        <f>Ceny_n!B78</f>
        <v>Lacobel RAL 1015</v>
      </c>
    </row>
    <row r="424" spans="2:4">
      <c r="B424" s="1" t="str">
        <f>Ceny_n!B71</f>
        <v xml:space="preserve">Master  Lens </v>
      </c>
      <c r="C424" s="1">
        <f>VLOOKUP(B:B,Ceny!$B$51:$P$116,2,FALSE)</f>
        <v>1419.3400000000001</v>
      </c>
      <c r="D424" s="1" t="str">
        <f>Ceny_n!B79</f>
        <v>Lacobel RAL 2001</v>
      </c>
    </row>
    <row r="425" spans="2:4">
      <c r="B425" s="1" t="str">
        <f>Ceny_n!B72</f>
        <v>Master  Ligne</v>
      </c>
      <c r="C425" s="1">
        <f>VLOOKUP(B:B,Ceny!$B$51:$P$116,2,FALSE)</f>
        <v>1419.3400000000001</v>
      </c>
      <c r="D425" s="1" t="str">
        <f>Ceny_n!B80</f>
        <v>Lacobel RAL 3004</v>
      </c>
    </row>
    <row r="426" spans="2:4">
      <c r="B426" s="1" t="str">
        <f>Ceny_n!B73</f>
        <v>Master  Point</v>
      </c>
      <c r="C426" s="1">
        <f>VLOOKUP(B:B,Ceny!$B$51:$P$116,2,FALSE)</f>
        <v>1419.3400000000001</v>
      </c>
      <c r="D426" s="1" t="str">
        <f>Ceny_n!B81</f>
        <v>Lacobel RAL 4006</v>
      </c>
    </row>
    <row r="427" spans="2:4">
      <c r="B427" s="1" t="str">
        <f>Ceny_n!B74</f>
        <v xml:space="preserve">Master  Ray </v>
      </c>
      <c r="C427" s="1">
        <f>VLOOKUP(B:B,Ceny!$B$51:$P$116,2,FALSE)</f>
        <v>1419.3400000000001</v>
      </c>
      <c r="D427" s="1" t="str">
        <f>Ceny_n!B82</f>
        <v>Lacobel RAL 5002</v>
      </c>
    </row>
    <row r="428" spans="2:4">
      <c r="B428" s="1" t="str">
        <f>Ceny_n!B75</f>
        <v>Master  Shine</v>
      </c>
      <c r="C428" s="1">
        <f>VLOOKUP(B:B,Ceny!$B$51:$P$116,2,FALSE)</f>
        <v>1419.3400000000001</v>
      </c>
      <c r="D428" s="1" t="str">
        <f>Ceny_n!B83</f>
        <v>Lacobel RAL 7035</v>
      </c>
    </row>
    <row r="429" spans="2:4">
      <c r="B429" s="1" t="str">
        <f>Ceny_n!B76</f>
        <v>Lacobel RAL 1013</v>
      </c>
      <c r="C429" s="1">
        <f>VLOOKUP(B:B,Ceny!$B$51:$P$116,2,FALSE)</f>
        <v>1812.8</v>
      </c>
      <c r="D429" s="1" t="str">
        <f>Ceny_n!B84</f>
        <v>Lacobel RAL 8017</v>
      </c>
    </row>
    <row r="430" spans="2:4">
      <c r="B430" s="1" t="str">
        <f>Ceny_n!B77</f>
        <v>Lacobel RAL 1014</v>
      </c>
      <c r="C430" s="1">
        <f>VLOOKUP(B:B,Ceny!$B$51:$P$116,2,FALSE)</f>
        <v>1493.5</v>
      </c>
      <c r="D430" s="1" t="str">
        <f>Ceny_n!B85</f>
        <v>Lacobel RAL 9003</v>
      </c>
    </row>
    <row r="431" spans="2:4">
      <c r="B431" s="1" t="str">
        <f>Ceny_n!B78</f>
        <v>Lacobel RAL 1015</v>
      </c>
      <c r="C431" s="1">
        <f>VLOOKUP(B:B,Ceny!$B$51:$P$116,2,FALSE)</f>
        <v>1493.5</v>
      </c>
      <c r="D431" s="1" t="str">
        <f>Ceny_n!B86</f>
        <v>Lacobel RAL 9005</v>
      </c>
    </row>
    <row r="432" spans="2:4">
      <c r="B432" s="1" t="str">
        <f>Ceny_n!B79</f>
        <v>Lacobel RAL 2001</v>
      </c>
      <c r="C432" s="1">
        <f>VLOOKUP(B:B,Ceny!$B$51:$P$116,2,FALSE)</f>
        <v>1493.5</v>
      </c>
      <c r="D432" s="1" t="str">
        <f>Ceny_n!B87</f>
        <v>Lacobel RAL 9006</v>
      </c>
    </row>
    <row r="433" spans="2:4">
      <c r="B433" s="1" t="str">
        <f>Ceny_n!B80</f>
        <v>Lacobel RAL 3004</v>
      </c>
      <c r="C433" s="1">
        <f>VLOOKUP(B:B,Ceny!$B$51:$P$116,2,FALSE)</f>
        <v>1493.5</v>
      </c>
      <c r="D433" s="1" t="str">
        <f>Ceny_n!B88</f>
        <v>Lacobel RAL 9007</v>
      </c>
    </row>
    <row r="434" spans="2:4">
      <c r="B434" s="1" t="str">
        <f>Ceny_n!B81</f>
        <v>Lacobel RAL 4006</v>
      </c>
      <c r="C434" s="1">
        <f>VLOOKUP(B:B,Ceny!$B$51:$P$116,2,FALSE)</f>
        <v>1493.5</v>
      </c>
      <c r="D434" s="1" t="str">
        <f>Ceny_n!B89</f>
        <v>Lacobel RAL 9010</v>
      </c>
    </row>
    <row r="435" spans="2:4">
      <c r="B435" s="1" t="str">
        <f>Ceny_n!B82</f>
        <v>Lacobel RAL 5002</v>
      </c>
      <c r="C435" s="1">
        <f>VLOOKUP(B:B,Ceny!$B$51:$P$116,2,FALSE)</f>
        <v>1493.5</v>
      </c>
      <c r="D435" s="1" t="str">
        <f>Ceny_n!B90</f>
        <v>Lacobel REF 0128</v>
      </c>
    </row>
    <row r="436" spans="2:4">
      <c r="B436" s="1" t="str">
        <f>Ceny_n!B83</f>
        <v>Lacobel RAL 7035</v>
      </c>
      <c r="C436" s="1">
        <f>VLOOKUP(B:B,Ceny!$B$51:$P$116,2,FALSE)</f>
        <v>1493.5</v>
      </c>
      <c r="D436" s="1" t="str">
        <f>Ceny_n!B91</f>
        <v>Lacobel REF 0327</v>
      </c>
    </row>
    <row r="437" spans="2:4">
      <c r="B437" s="1" t="str">
        <f>Ceny_n!B84</f>
        <v>Lacobel RAL 8017</v>
      </c>
      <c r="C437" s="1">
        <f>VLOOKUP(B:B,Ceny!$B$51:$P$116,2,FALSE)</f>
        <v>1493.5</v>
      </c>
      <c r="D437" s="1" t="str">
        <f>Ceny_n!B92</f>
        <v>Lacobel REF 0337</v>
      </c>
    </row>
    <row r="438" spans="2:4">
      <c r="B438" s="1" t="str">
        <f>Ceny_n!B85</f>
        <v>Lacobel RAL 9003</v>
      </c>
      <c r="C438" s="1">
        <f>VLOOKUP(B:B,Ceny!$B$51:$P$116,2,FALSE)</f>
        <v>1812.8</v>
      </c>
      <c r="D438" s="1" t="str">
        <f>Ceny_n!B93</f>
        <v>Lacobel REF 0627</v>
      </c>
    </row>
    <row r="439" spans="2:4">
      <c r="B439" s="1" t="str">
        <f>Ceny_n!B86</f>
        <v>Lacobel RAL 9005</v>
      </c>
      <c r="C439" s="1">
        <f>VLOOKUP(B:B,Ceny!$B$51:$P$116,2,FALSE)</f>
        <v>1493.5</v>
      </c>
      <c r="D439" s="1" t="str">
        <f>Ceny_n!B94</f>
        <v>Lacobel REF 0667</v>
      </c>
    </row>
    <row r="440" spans="2:4">
      <c r="B440" s="1" t="str">
        <f>Ceny_n!B87</f>
        <v>Lacobel RAL 9006</v>
      </c>
      <c r="C440" s="1">
        <f>VLOOKUP(B:B,Ceny!$B$51:$P$116,2,FALSE)</f>
        <v>1493.5</v>
      </c>
      <c r="D440" s="1" t="str">
        <f>Ceny_n!B95</f>
        <v>Lacobel REF 1164</v>
      </c>
    </row>
    <row r="441" spans="2:4">
      <c r="B441" s="1" t="str">
        <f>Ceny_n!B88</f>
        <v>Lacobel RAL 9007</v>
      </c>
      <c r="C441" s="1">
        <f>VLOOKUP(B:B,Ceny!$B$51:$P$116,2,FALSE)</f>
        <v>1812.8</v>
      </c>
      <c r="D441" s="1" t="str">
        <f>Ceny_n!B96</f>
        <v>Lacobel REF 1236</v>
      </c>
    </row>
    <row r="442" spans="2:4">
      <c r="B442" s="1" t="str">
        <f>Ceny_n!B89</f>
        <v>Lacobel RAL 9010</v>
      </c>
      <c r="C442" s="1">
        <f>VLOOKUP(B:B,Ceny!$B$51:$P$116,2,FALSE)</f>
        <v>1493.5</v>
      </c>
      <c r="D442" s="1" t="str">
        <f>Ceny_n!B97</f>
        <v>Lacobel REF 1435</v>
      </c>
    </row>
    <row r="443" spans="2:4">
      <c r="B443" s="1" t="str">
        <f>Ceny_n!B90</f>
        <v>Lacobel REF 0128</v>
      </c>
      <c r="C443" s="1">
        <f>VLOOKUP(B:B,Ceny!$B$51:$P$116,2,FALSE)</f>
        <v>1812.8</v>
      </c>
      <c r="D443" s="1" t="str">
        <f>Ceny_n!B98</f>
        <v>Lacobel REF 1586</v>
      </c>
    </row>
    <row r="444" spans="2:4">
      <c r="B444" s="1" t="str">
        <f>Ceny_n!B91</f>
        <v>Lacobel REF 0327</v>
      </c>
      <c r="C444" s="1">
        <f>VLOOKUP(B:B,Ceny!$B$51:$P$116,2,FALSE)</f>
        <v>1812.8</v>
      </c>
      <c r="D444" s="1" t="str">
        <f>Ceny_n!B99</f>
        <v>Lacobel REF 1603</v>
      </c>
    </row>
    <row r="445" spans="2:4">
      <c r="B445" s="1" t="str">
        <f>Ceny_n!B92</f>
        <v>Lacobel REF 0337</v>
      </c>
      <c r="C445" s="1">
        <f>VLOOKUP(B:B,Ceny!$B$51:$P$116,2,FALSE)</f>
        <v>1812.8</v>
      </c>
      <c r="D445" s="1" t="str">
        <f>Ceny_n!B100</f>
        <v>Lacobel REF 1604</v>
      </c>
    </row>
    <row r="446" spans="2:4">
      <c r="B446" s="1" t="str">
        <f>Ceny_n!B93</f>
        <v>Lacobel REF 0627</v>
      </c>
      <c r="C446" s="1">
        <f>VLOOKUP(B:B,Ceny!$B$51:$P$116,2,FALSE)</f>
        <v>1812.8</v>
      </c>
      <c r="D446" s="1" t="str">
        <f>Ceny_n!B101</f>
        <v>Matelac RAL 2001</v>
      </c>
    </row>
    <row r="447" spans="2:4">
      <c r="B447" s="1" t="str">
        <f>Ceny_n!B94</f>
        <v>Lacobel REF 0667</v>
      </c>
      <c r="C447" s="1">
        <f>VLOOKUP(B:B,Ceny!$B$51:$P$116,2,FALSE)</f>
        <v>1493.5</v>
      </c>
      <c r="D447" s="1" t="str">
        <f>Ceny_n!B102</f>
        <v>Matelac RAL 3004</v>
      </c>
    </row>
    <row r="448" spans="2:4">
      <c r="B448" s="1" t="str">
        <f>Ceny_n!B95</f>
        <v>Lacobel REF 1164</v>
      </c>
      <c r="C448" s="1">
        <f>VLOOKUP(B:B,Ceny!$B$51:$P$116,2,FALSE)</f>
        <v>1493.5</v>
      </c>
      <c r="D448" s="1" t="str">
        <f>Ceny_n!B103</f>
        <v>Matelac RAL 7021</v>
      </c>
    </row>
    <row r="449" spans="2:4">
      <c r="B449" s="1" t="str">
        <f>Ceny_n!B96</f>
        <v>Lacobel REF 1236</v>
      </c>
      <c r="C449" s="1">
        <f>VLOOKUP(B:B,Ceny!$B$51:$P$116,2,FALSE)</f>
        <v>1493.5</v>
      </c>
      <c r="D449" s="1" t="str">
        <f>Ceny_n!B104</f>
        <v>Matelac RAL 9003</v>
      </c>
    </row>
    <row r="450" spans="2:4">
      <c r="B450" s="1" t="str">
        <f>Ceny_n!B97</f>
        <v>Lacobel REF 1435</v>
      </c>
      <c r="C450" s="1">
        <f>VLOOKUP(B:B,Ceny!$B$51:$P$116,2,FALSE)</f>
        <v>1493.5</v>
      </c>
      <c r="D450" s="1" t="str">
        <f>Ceny_n!B105</f>
        <v>Matelac RAL 9005</v>
      </c>
    </row>
    <row r="451" spans="2:4">
      <c r="B451" s="1" t="str">
        <f>Ceny_n!B98</f>
        <v>Lacobel REF 1586</v>
      </c>
      <c r="C451" s="1">
        <f>VLOOKUP(B:B,Ceny!$B$51:$P$116,2,FALSE)</f>
        <v>1493.5</v>
      </c>
      <c r="D451" s="1" t="str">
        <f>Ceny_n!B106</f>
        <v>Matelac RAL 9006</v>
      </c>
    </row>
    <row r="452" spans="2:4">
      <c r="B452" s="1" t="str">
        <f>Ceny_n!B99</f>
        <v>Lacobel REF 1603</v>
      </c>
      <c r="C452" s="1">
        <f>VLOOKUP(B:B,Ceny!$B$51:$P$116,2,FALSE)</f>
        <v>1493.5</v>
      </c>
      <c r="D452" s="1" t="str">
        <f>Ceny_n!B107</f>
        <v>Matelac RAL 9010</v>
      </c>
    </row>
    <row r="453" spans="2:4">
      <c r="B453" s="1" t="str">
        <f>Ceny_n!B100</f>
        <v>Lacobel REF 1604</v>
      </c>
      <c r="C453" s="1">
        <f>VLOOKUP(B:B,Ceny!$B$51:$P$116,2,FALSE)</f>
        <v>1493.5</v>
      </c>
      <c r="D453" s="1" t="str">
        <f>Ceny_n!B108</f>
        <v>Matelac REF 1435</v>
      </c>
    </row>
    <row r="454" spans="2:4">
      <c r="B454" s="1" t="str">
        <f>Ceny_n!B101</f>
        <v>Matelac RAL 2001</v>
      </c>
      <c r="C454" s="1">
        <f>VLOOKUP(B:B,Ceny!$B$51:$P$116,2,FALSE)</f>
        <v>2502.9</v>
      </c>
      <c r="D454" s="1" t="str">
        <f>Ceny_n!B109</f>
        <v>Matelac REF 1586</v>
      </c>
    </row>
    <row r="455" spans="2:4">
      <c r="B455" s="1" t="str">
        <f>Ceny_n!B102</f>
        <v>Matelac RAL 3004</v>
      </c>
      <c r="C455" s="1">
        <f>VLOOKUP(B:B,Ceny!$B$51:$P$116,2,FALSE)</f>
        <v>2502.9</v>
      </c>
      <c r="D455" s="1" t="str">
        <f>Ceny_n!B110</f>
        <v>Matelac zrcadlo bronz</v>
      </c>
    </row>
    <row r="456" spans="2:4">
      <c r="B456" s="1" t="str">
        <f>Ceny_n!B103</f>
        <v>Matelac RAL 7021</v>
      </c>
      <c r="C456" s="1">
        <f>VLOOKUP(B:B,Ceny!$B$51:$P$116,2,FALSE)</f>
        <v>2502.9</v>
      </c>
      <c r="D456" s="1" t="str">
        <f>Ceny_n!B111</f>
        <v>Matelac zrcadlo grafit</v>
      </c>
    </row>
    <row r="457" spans="2:4">
      <c r="B457" s="1" t="str">
        <f>Ceny_n!B104</f>
        <v>Matelac RAL 9003</v>
      </c>
      <c r="C457" s="1">
        <f>VLOOKUP(B:B,Ceny!$B$51:$P$116,2,FALSE)</f>
        <v>2914.9</v>
      </c>
      <c r="D457" s="1" t="str">
        <f>Ceny_n!B112</f>
        <v>Matelac zrcadlo stříbr.</v>
      </c>
    </row>
    <row r="458" spans="2:4">
      <c r="B458" s="1" t="str">
        <f>Ceny_n!B105</f>
        <v>Matelac RAL 9005</v>
      </c>
      <c r="C458" s="1">
        <f>VLOOKUP(B:B,Ceny!$B$51:$P$116,2,FALSE)</f>
        <v>2502.9</v>
      </c>
      <c r="D458" s="1">
        <f>Ceny_n!B113</f>
        <v>0</v>
      </c>
    </row>
    <row r="459" spans="2:4">
      <c r="B459" s="1" t="str">
        <f>Ceny_n!B106</f>
        <v>Matelac RAL 9006</v>
      </c>
      <c r="C459" s="1">
        <f>VLOOKUP(B:B,Ceny!$B$51:$P$116,2,FALSE)</f>
        <v>2502.9</v>
      </c>
      <c r="D459" s="1">
        <f>Ceny_n!B114</f>
        <v>0</v>
      </c>
    </row>
    <row r="460" spans="2:4">
      <c r="B460" s="1" t="str">
        <f>Ceny_n!B107</f>
        <v>Matelac RAL 9010</v>
      </c>
      <c r="C460" s="1">
        <f>VLOOKUP(B:B,Ceny!$B$51:$P$116,2,FALSE)</f>
        <v>2502.9</v>
      </c>
      <c r="D460" s="1">
        <f>Ceny_n!B115</f>
        <v>0</v>
      </c>
    </row>
    <row r="461" spans="2:4">
      <c r="B461" s="1" t="str">
        <f>Ceny_n!B108</f>
        <v>Matelac REF 1435</v>
      </c>
      <c r="C461" s="1">
        <f>VLOOKUP(B:B,Ceny!$B$51:$P$116,2,FALSE)</f>
        <v>2502.9</v>
      </c>
      <c r="D461" s="1">
        <f>Ceny_n!B116</f>
        <v>0</v>
      </c>
    </row>
    <row r="462" spans="2:4">
      <c r="B462" s="1" t="str">
        <f>Ceny_n!B109</f>
        <v>Matelac REF 1586</v>
      </c>
      <c r="C462" s="1">
        <f>VLOOKUP(B:B,Ceny!$B$51:$P$116,2,FALSE)</f>
        <v>2502.9</v>
      </c>
    </row>
    <row r="463" spans="2:4">
      <c r="B463" s="1" t="str">
        <f>Ceny_n!B110</f>
        <v>Matelac zrcadlo bronz</v>
      </c>
      <c r="C463" s="1">
        <f>VLOOKUP(B:B,Ceny!$B$51:$P$116,2,FALSE)</f>
        <v>2708.9</v>
      </c>
    </row>
    <row r="464" spans="2:4">
      <c r="B464" s="1" t="str">
        <f>Ceny_n!B111</f>
        <v>Matelac zrcadlo grafit</v>
      </c>
      <c r="C464" s="1">
        <f>VLOOKUP(B:B,Ceny!$B$51:$P$116,2,FALSE)</f>
        <v>3038.5</v>
      </c>
    </row>
    <row r="465" spans="1:28">
      <c r="B465" s="1" t="str">
        <f>Ceny_n!B112</f>
        <v>Matelac zrcadlo stříbr.</v>
      </c>
      <c r="C465" s="1">
        <f>VLOOKUP(B:B,Ceny!$B$51:$P$116,2,FALSE)</f>
        <v>2708.9</v>
      </c>
    </row>
    <row r="468" spans="1:28">
      <c r="B468" s="1">
        <f>Ceny_n!B118</f>
        <v>0</v>
      </c>
      <c r="C468" s="1">
        <f>Ceny_n!C118</f>
        <v>0</v>
      </c>
      <c r="D468" s="1" t="s">
        <v>677</v>
      </c>
    </row>
    <row r="469" spans="1:28">
      <c r="B469" s="1">
        <f>Ceny_n!B119</f>
        <v>0</v>
      </c>
      <c r="D469" s="1" t="s">
        <v>677</v>
      </c>
    </row>
    <row r="470" spans="1:28">
      <c r="B470" s="1" t="str">
        <f>Ceny_n!B120</f>
        <v>Příplatky úzký</v>
      </c>
      <c r="D470" s="1" t="s">
        <v>677</v>
      </c>
    </row>
    <row r="471" spans="1:28">
      <c r="B471" s="1" t="str">
        <f>Ceny_n!B121</f>
        <v>HF</v>
      </c>
      <c r="D471" s="1" t="s">
        <v>677</v>
      </c>
      <c r="AB471" s="68"/>
    </row>
    <row r="472" spans="1:28">
      <c r="B472" s="1" t="str">
        <f>Ceny_n!B122</f>
        <v>HK, HS,HL</v>
      </c>
      <c r="D472" s="1" t="s">
        <v>677</v>
      </c>
      <c r="AB472" s="68"/>
    </row>
    <row r="473" spans="1:28">
      <c r="B473" s="1" t="str">
        <f>Ceny_n!B123</f>
        <v>HKS</v>
      </c>
      <c r="D473" s="1" t="s">
        <v>677</v>
      </c>
      <c r="AB473" s="68"/>
    </row>
    <row r="474" spans="1:28">
      <c r="B474" s="1" t="str">
        <f>Ceny_n!B124</f>
        <v>Příplatek široký</v>
      </c>
      <c r="D474" s="1" t="s">
        <v>677</v>
      </c>
      <c r="AB474" s="68"/>
    </row>
    <row r="475" spans="1:28" ht="18.75">
      <c r="A475" s="95" t="s">
        <v>7</v>
      </c>
      <c r="B475" s="1">
        <f>Ceny_n!B125</f>
        <v>0</v>
      </c>
      <c r="D475" s="1" t="s">
        <v>677</v>
      </c>
      <c r="AB475" s="68"/>
    </row>
    <row r="476" spans="1:28">
      <c r="A476" s="992" t="s">
        <v>85</v>
      </c>
      <c r="B476" s="1">
        <f>Ceny_n!B126</f>
        <v>0</v>
      </c>
      <c r="D476" s="1" t="s">
        <v>677</v>
      </c>
      <c r="AB476" s="68"/>
    </row>
    <row r="477" spans="1:28">
      <c r="A477" s="992"/>
      <c r="B477" s="1">
        <f>Ceny_n!B127</f>
        <v>0</v>
      </c>
      <c r="D477" s="1" t="s">
        <v>677</v>
      </c>
      <c r="AB477" s="68"/>
    </row>
    <row r="478" spans="1:28">
      <c r="A478" s="992"/>
      <c r="B478" s="1">
        <f>Ceny_n!B128</f>
        <v>0</v>
      </c>
      <c r="AB478" s="68"/>
    </row>
    <row r="479" spans="1:28" ht="45.75">
      <c r="A479" s="992"/>
      <c r="B479" s="1" t="str">
        <f>Ceny_n!B129</f>
        <v>Rámeček</v>
      </c>
      <c r="C479" s="95"/>
      <c r="D479" s="31" t="s">
        <v>8</v>
      </c>
      <c r="AB479" s="68"/>
    </row>
    <row r="480" spans="1:28">
      <c r="A480" s="992" t="s">
        <v>86</v>
      </c>
      <c r="B480" s="1" t="str">
        <f>Ceny_n!B130</f>
        <v xml:space="preserve">Standardní vrtání otvoru pro misku závěsu je 3 mm od hrany. </v>
      </c>
      <c r="C480" s="67" t="str">
        <f>Ceny_n!$B$147</f>
        <v>Naložený clip</v>
      </c>
      <c r="D480" s="129">
        <v>92960</v>
      </c>
      <c r="E480" s="129">
        <v>92962</v>
      </c>
      <c r="AB480" s="68"/>
    </row>
    <row r="481" spans="1:28">
      <c r="A481" s="992"/>
      <c r="B481" s="1" t="str">
        <f>Ceny_n!B131</f>
        <v>Uvedené ceny jsou bez DPH a nezahrnují cenu požadovaného kování!</v>
      </c>
      <c r="C481" s="67" t="str">
        <f>Ceny_n!$B$148</f>
        <v>Polonaložený clip</v>
      </c>
      <c r="D481" s="129">
        <v>92960</v>
      </c>
      <c r="E481" s="129">
        <v>92962</v>
      </c>
      <c r="AB481" s="68"/>
    </row>
    <row r="482" spans="1:28">
      <c r="A482" s="992"/>
      <c r="B482" s="1" t="str">
        <f>Ceny_n!B132</f>
        <v>Typ profilu</v>
      </c>
      <c r="C482" s="67" t="str">
        <f>Ceny_n!$B$149</f>
        <v>Vložený clip</v>
      </c>
      <c r="D482" s="66">
        <v>92974</v>
      </c>
      <c r="E482" s="66">
        <v>92969</v>
      </c>
      <c r="AB482" s="68"/>
    </row>
    <row r="483" spans="1:28">
      <c r="A483" s="992"/>
      <c r="B483" s="1" t="str">
        <f>Ceny_n!B133</f>
        <v>Typ skla</v>
      </c>
      <c r="C483" s="67" t="str">
        <f>Ceny_n!$B$150</f>
        <v>Úhel 45°</v>
      </c>
      <c r="D483" s="66">
        <v>92960</v>
      </c>
      <c r="E483" s="66">
        <v>92962</v>
      </c>
      <c r="AB483" s="68"/>
    </row>
    <row r="484" spans="1:28">
      <c r="A484" s="992"/>
      <c r="B484" s="1" t="str">
        <f>Ceny_n!B134</f>
        <v>Počet kusů</v>
      </c>
      <c r="C484" s="17" t="str">
        <f>Ceny_n!$B$151</f>
        <v>Naložený</v>
      </c>
      <c r="D484" s="66">
        <v>92960</v>
      </c>
      <c r="E484" s="66">
        <v>92962</v>
      </c>
      <c r="AB484" s="68"/>
    </row>
    <row r="485" spans="1:28">
      <c r="A485" s="992"/>
      <c r="B485" s="1" t="str">
        <f>Ceny_n!B135</f>
        <v xml:space="preserve">Šířka </v>
      </c>
      <c r="C485" s="17" t="str">
        <f>Ceny_n!$B$152</f>
        <v>Polonaložený</v>
      </c>
      <c r="D485" s="66">
        <v>92960</v>
      </c>
      <c r="E485" s="66">
        <v>92962</v>
      </c>
      <c r="AB485" s="68"/>
    </row>
    <row r="486" spans="1:28">
      <c r="A486" s="942"/>
      <c r="B486" s="1" t="str">
        <f>Ceny_n!B136</f>
        <v>Výška</v>
      </c>
      <c r="C486" s="17" t="str">
        <f>Ceny_n!$B$153</f>
        <v>Vložený</v>
      </c>
      <c r="D486" s="66">
        <v>92961</v>
      </c>
      <c r="E486" s="66">
        <v>92963</v>
      </c>
      <c r="AB486" s="68"/>
    </row>
    <row r="487" spans="1:28">
      <c r="A487" s="942"/>
      <c r="B487" s="1" t="str">
        <f>Ceny_n!B137</f>
        <v>Poznámky</v>
      </c>
      <c r="C487" s="17" t="str">
        <f>Ceny_n!$B$154</f>
        <v>Úhel 45°</v>
      </c>
      <c r="D487" s="66">
        <v>92960</v>
      </c>
      <c r="E487" s="66">
        <v>92962</v>
      </c>
      <c r="AB487" s="68"/>
    </row>
    <row r="488" spans="1:28">
      <c r="A488" s="942"/>
      <c r="B488" s="1" t="str">
        <f>Ceny_n!B138</f>
        <v>Cena rámečků celkem</v>
      </c>
      <c r="C488" s="17" t="str">
        <f>Ceny_n!$B$155</f>
        <v>Naložený s opačnou pružinou</v>
      </c>
      <c r="D488" s="66">
        <v>92960</v>
      </c>
      <c r="E488" s="66">
        <v>92962</v>
      </c>
      <c r="AB488" s="68"/>
    </row>
    <row r="489" spans="1:28">
      <c r="A489" s="942"/>
      <c r="B489" s="1" t="str">
        <f>Ceny_n!B139</f>
        <v>Cena kování celkem</v>
      </c>
      <c r="C489" s="17" t="str">
        <f>Ceny_n!$B$156</f>
        <v>Vložený s opačnou pružinou</v>
      </c>
      <c r="D489" s="66">
        <v>92960</v>
      </c>
      <c r="E489" s="66">
        <v>92962</v>
      </c>
      <c r="AB489" s="68"/>
    </row>
    <row r="490" spans="1:28">
      <c r="A490" s="942"/>
      <c r="B490" s="1" t="str">
        <f>Ceny_n!B140</f>
        <v>Cena za kompletní objednávku</v>
      </c>
      <c r="C490" s="17" t="str">
        <f>Ceny_n!$B$157</f>
        <v>Clip na vrut H2</v>
      </c>
      <c r="D490" s="942"/>
      <c r="AB490" s="68"/>
    </row>
    <row r="491" spans="1:28">
      <c r="A491" s="942"/>
      <c r="B491" s="1" t="str">
        <f>Ceny_n!B141</f>
        <v>Závěsy</v>
      </c>
      <c r="C491" s="17" t="str">
        <f>Ceny_n!$B$158</f>
        <v>Clip na vrut H4</v>
      </c>
      <c r="D491" s="942"/>
      <c r="AB491" s="68"/>
    </row>
    <row r="492" spans="1:28">
      <c r="A492" s="942"/>
      <c r="B492" s="1" t="str">
        <f>Ceny_n!B142</f>
        <v>Aventos ostatní</v>
      </c>
      <c r="C492" s="17" t="str">
        <f>Ceny_n!$B$159</f>
        <v>Clip na eurošroub H2</v>
      </c>
      <c r="D492" s="942"/>
    </row>
    <row r="493" spans="1:28">
      <c r="A493" s="942"/>
      <c r="B493" s="1" t="str">
        <f>Ceny_n!B143</f>
        <v>STRONG s tlumením</v>
      </c>
      <c r="C493" s="17" t="str">
        <f>Ceny_n!$B$160</f>
        <v>Clip na eurošroub H4</v>
      </c>
      <c r="D493" s="942"/>
    </row>
    <row r="494" spans="1:28" ht="18.75">
      <c r="A494" s="69" t="s">
        <v>9</v>
      </c>
      <c r="B494" s="1" t="str">
        <f>Ceny_n!B144</f>
        <v>Závěsy se zvedacím pístem</v>
      </c>
      <c r="C494" s="17" t="str">
        <f>Ceny_n!$B$161</f>
        <v>Slide on na vrut H2</v>
      </c>
      <c r="D494" s="942"/>
    </row>
    <row r="495" spans="1:28">
      <c r="A495" s="993" t="s">
        <v>11</v>
      </c>
      <c r="B495" s="1" t="str">
        <f>Ceny_n!B145</f>
        <v>Horní dvířko</v>
      </c>
      <c r="C495" s="17" t="str">
        <f>Ceny_n!$B$162</f>
        <v>Slide on na vrut H4</v>
      </c>
      <c r="D495" s="942"/>
    </row>
    <row r="496" spans="1:28">
      <c r="A496" s="994"/>
      <c r="B496" s="1" t="str">
        <f>Ceny_n!B146</f>
        <v>Spodní dvířko</v>
      </c>
      <c r="C496" s="17" t="str">
        <f>Ceny_n!$B$163</f>
        <v>Slide on na eurošroub H2</v>
      </c>
      <c r="D496" s="942"/>
    </row>
    <row r="497" spans="1:5">
      <c r="A497" s="994"/>
      <c r="B497" s="1" t="str">
        <f>Ceny_n!B147</f>
        <v>Naložený clip</v>
      </c>
      <c r="C497" s="17" t="str">
        <f>Ceny_n!$B$164</f>
        <v>Slide on na eurošroub H4</v>
      </c>
      <c r="D497" s="942"/>
    </row>
    <row r="498" spans="1:5" ht="45.75">
      <c r="A498" s="994"/>
      <c r="B498" s="70"/>
      <c r="C498" s="71"/>
      <c r="D498" s="31" t="s">
        <v>8</v>
      </c>
    </row>
    <row r="499" spans="1:5">
      <c r="A499" s="994"/>
      <c r="B499" s="66"/>
      <c r="C499" s="67"/>
      <c r="D499" s="66"/>
      <c r="E499" s="66"/>
    </row>
    <row r="500" spans="1:5">
      <c r="A500" s="994"/>
      <c r="B500" s="66"/>
      <c r="C500" s="67"/>
      <c r="D500" s="66"/>
      <c r="E500" s="66"/>
    </row>
    <row r="501" spans="1:5">
      <c r="A501" s="994"/>
      <c r="B501" s="66"/>
      <c r="C501" s="67"/>
      <c r="D501" s="66"/>
      <c r="E501" s="66"/>
    </row>
    <row r="502" spans="1:5">
      <c r="A502" s="995"/>
      <c r="B502" s="66"/>
      <c r="C502" s="67"/>
      <c r="D502" s="66"/>
      <c r="E502" s="66"/>
    </row>
    <row r="503" spans="1:5">
      <c r="A503" s="989" t="s">
        <v>12</v>
      </c>
      <c r="B503" s="66"/>
      <c r="C503" s="17"/>
      <c r="D503" s="129"/>
      <c r="E503" s="129"/>
    </row>
    <row r="504" spans="1:5">
      <c r="A504" s="990"/>
      <c r="B504" s="66"/>
      <c r="C504" s="17"/>
      <c r="D504" s="129"/>
      <c r="E504" s="129"/>
    </row>
    <row r="505" spans="1:5">
      <c r="A505" s="990"/>
      <c r="B505" s="66"/>
      <c r="C505" s="17"/>
      <c r="D505" s="129"/>
      <c r="E505" s="129"/>
    </row>
    <row r="506" spans="1:5">
      <c r="A506" s="990"/>
      <c r="B506" s="66"/>
      <c r="C506" s="17"/>
      <c r="D506" s="66"/>
      <c r="E506" s="66"/>
    </row>
    <row r="507" spans="1:5">
      <c r="A507" s="990"/>
      <c r="B507" s="66"/>
      <c r="C507" s="67"/>
      <c r="D507" s="66"/>
      <c r="E507" s="66"/>
    </row>
    <row r="508" spans="1:5">
      <c r="A508" s="990"/>
      <c r="B508" s="66"/>
      <c r="C508" s="67"/>
      <c r="D508" s="66"/>
      <c r="E508" s="66"/>
    </row>
    <row r="509" spans="1:5">
      <c r="A509" s="991"/>
      <c r="B509" s="66"/>
      <c r="C509" s="67"/>
      <c r="D509" s="66"/>
      <c r="E509" s="66"/>
    </row>
    <row r="510" spans="1:5">
      <c r="A510" s="942"/>
      <c r="B510" s="66"/>
      <c r="C510" s="17"/>
      <c r="D510" s="66"/>
    </row>
    <row r="511" spans="1:5">
      <c r="A511" s="942"/>
      <c r="B511" s="66"/>
      <c r="C511" s="17"/>
      <c r="D511" s="66"/>
      <c r="E511" s="66"/>
    </row>
    <row r="512" spans="1:5">
      <c r="A512" s="72"/>
      <c r="B512" s="66"/>
      <c r="C512" s="17"/>
      <c r="D512" s="66"/>
    </row>
    <row r="513" spans="1:5">
      <c r="A513" s="72"/>
      <c r="B513" s="66"/>
      <c r="C513" s="17"/>
      <c r="D513" s="66"/>
      <c r="E513" s="66"/>
    </row>
    <row r="514" spans="1:5" ht="18.75">
      <c r="A514" s="69" t="s">
        <v>111</v>
      </c>
      <c r="B514" s="66"/>
      <c r="C514" s="17"/>
      <c r="D514" s="942"/>
    </row>
    <row r="515" spans="1:5">
      <c r="A515" s="17" t="s">
        <v>11</v>
      </c>
      <c r="B515" s="66"/>
      <c r="C515" s="17"/>
      <c r="D515" s="942"/>
    </row>
    <row r="516" spans="1:5">
      <c r="A516" s="992" t="s">
        <v>12</v>
      </c>
      <c r="B516" s="66"/>
      <c r="C516" s="17"/>
      <c r="D516" s="72"/>
    </row>
    <row r="517" spans="1:5">
      <c r="A517" s="992"/>
      <c r="B517" s="72"/>
      <c r="C517" s="72"/>
      <c r="D517" s="72"/>
    </row>
    <row r="518" spans="1:5" ht="18.75">
      <c r="A518" s="992"/>
      <c r="B518" s="70"/>
      <c r="C518" s="71"/>
      <c r="D518" s="31"/>
    </row>
    <row r="519" spans="1:5">
      <c r="A519" s="992"/>
      <c r="B519" s="73"/>
      <c r="C519" s="74"/>
      <c r="D519" s="75"/>
    </row>
    <row r="520" spans="1:5">
      <c r="A520" s="942"/>
      <c r="B520" s="66">
        <v>92584</v>
      </c>
      <c r="C520" s="67" t="str">
        <f>Ceny_n!$B$147</f>
        <v>Naložený clip</v>
      </c>
      <c r="D520" s="66">
        <v>92596</v>
      </c>
      <c r="E520" s="66">
        <v>92597</v>
      </c>
    </row>
    <row r="521" spans="1:5">
      <c r="A521" s="942"/>
      <c r="B521" s="66">
        <v>92585</v>
      </c>
      <c r="C521" s="67" t="str">
        <f>Ceny_n!$B$148</f>
        <v>Polonaložený clip</v>
      </c>
      <c r="D521" s="66">
        <v>92596</v>
      </c>
      <c r="E521" s="66">
        <v>92597</v>
      </c>
    </row>
    <row r="522" spans="1:5">
      <c r="A522" s="72"/>
      <c r="B522" s="66">
        <v>92586</v>
      </c>
      <c r="C522" s="67" t="str">
        <f>Ceny_n!$B$149</f>
        <v>Vložený clip</v>
      </c>
      <c r="D522" s="66">
        <v>92598</v>
      </c>
      <c r="E522" s="66">
        <v>92599</v>
      </c>
    </row>
    <row r="523" spans="1:5">
      <c r="A523" s="72"/>
      <c r="B523" s="66">
        <v>92588</v>
      </c>
      <c r="C523" s="17" t="str">
        <f>Ceny_n!$B$175</f>
        <v>45° clip</v>
      </c>
      <c r="D523" s="66">
        <v>92598</v>
      </c>
      <c r="E523" s="66">
        <v>92599</v>
      </c>
    </row>
    <row r="524" spans="1:5">
      <c r="A524"/>
      <c r="B524" s="66">
        <v>92597</v>
      </c>
      <c r="C524" s="17" t="str">
        <f>Ceny_n!$B$176</f>
        <v xml:space="preserve">Clip na eurošroub H0 </v>
      </c>
      <c r="D524" s="942"/>
    </row>
    <row r="525" spans="1:5" ht="18.75">
      <c r="A525" s="69" t="s">
        <v>112</v>
      </c>
      <c r="B525" s="66">
        <v>92596</v>
      </c>
      <c r="C525" s="17" t="str">
        <f>Ceny_n!$B$177</f>
        <v>Clip na vrut H0</v>
      </c>
      <c r="D525" s="942"/>
    </row>
    <row r="526" spans="1:5">
      <c r="A526" s="17" t="s">
        <v>11</v>
      </c>
      <c r="B526" s="66">
        <v>92599</v>
      </c>
      <c r="C526" s="17" t="str">
        <f>Ceny_n!$B$159</f>
        <v>Clip na eurošroub H2</v>
      </c>
      <c r="D526" s="72"/>
    </row>
    <row r="527" spans="1:5">
      <c r="A527" s="992" t="s">
        <v>12</v>
      </c>
      <c r="B527" s="66">
        <v>92598</v>
      </c>
      <c r="C527" s="17" t="str">
        <f>Ceny_n!$B$157</f>
        <v>Clip na vrut H2</v>
      </c>
      <c r="D527" s="72"/>
    </row>
    <row r="528" spans="1:5">
      <c r="A528" s="992"/>
      <c r="B528"/>
      <c r="C528"/>
      <c r="D528"/>
    </row>
    <row r="529" spans="1:6" ht="45.75">
      <c r="A529" s="992"/>
      <c r="B529" s="70"/>
      <c r="C529" s="71"/>
      <c r="D529" s="31" t="s">
        <v>8</v>
      </c>
    </row>
    <row r="530" spans="1:6">
      <c r="A530" s="992"/>
      <c r="B530" s="66" t="s">
        <v>803</v>
      </c>
      <c r="C530" s="67" t="str">
        <f>Ceny_n!$B$147</f>
        <v>Naložený clip</v>
      </c>
      <c r="D530" s="66" t="s">
        <v>113</v>
      </c>
      <c r="E530" s="66" t="s">
        <v>119</v>
      </c>
    </row>
    <row r="531" spans="1:6">
      <c r="A531" s="942"/>
      <c r="B531" s="66" t="s">
        <v>114</v>
      </c>
      <c r="C531" s="67" t="str">
        <f>Ceny_n!$B$147</f>
        <v>Naložený clip</v>
      </c>
      <c r="D531" s="66" t="s">
        <v>113</v>
      </c>
      <c r="E531" s="66" t="s">
        <v>119</v>
      </c>
    </row>
    <row r="532" spans="1:6">
      <c r="A532" s="942"/>
      <c r="B532" s="66" t="s">
        <v>115</v>
      </c>
      <c r="C532" s="67" t="str">
        <f>Ceny_n!$B$148</f>
        <v>Polonaložený clip</v>
      </c>
      <c r="D532" s="66" t="s">
        <v>113</v>
      </c>
      <c r="E532" s="66" t="s">
        <v>119</v>
      </c>
    </row>
    <row r="533" spans="1:6">
      <c r="A533" s="72"/>
      <c r="B533" s="66" t="s">
        <v>116</v>
      </c>
      <c r="C533" s="67" t="str">
        <f>Ceny_n!$B$149</f>
        <v>Vložený clip</v>
      </c>
      <c r="D533" s="66" t="s">
        <v>117</v>
      </c>
      <c r="E533" s="66" t="s">
        <v>146</v>
      </c>
    </row>
    <row r="534" spans="1:6">
      <c r="A534" s="72"/>
      <c r="B534" s="66" t="s">
        <v>118</v>
      </c>
      <c r="C534" s="17" t="str">
        <f>Ceny_n!$B$175</f>
        <v>45° clip</v>
      </c>
      <c r="D534" s="66" t="s">
        <v>117</v>
      </c>
      <c r="E534" s="66" t="s">
        <v>146</v>
      </c>
    </row>
    <row r="535" spans="1:6">
      <c r="B535" s="66" t="s">
        <v>119</v>
      </c>
      <c r="C535" s="17" t="str">
        <f>Ceny_n!$B$176</f>
        <v xml:space="preserve">Clip na eurošroub H0 </v>
      </c>
      <c r="D535" s="942"/>
    </row>
    <row r="536" spans="1:6">
      <c r="B536" s="66" t="s">
        <v>113</v>
      </c>
      <c r="C536" s="17" t="str">
        <f>Ceny_n!$B$177</f>
        <v>Clip na vrut H0</v>
      </c>
      <c r="D536" s="942"/>
    </row>
    <row r="537" spans="1:6">
      <c r="B537" s="66" t="s">
        <v>146</v>
      </c>
      <c r="C537" s="17" t="str">
        <f>Ceny_n!$B$159</f>
        <v>Clip na eurošroub H2</v>
      </c>
      <c r="D537" s="72"/>
    </row>
    <row r="538" spans="1:6">
      <c r="B538" s="66" t="s">
        <v>117</v>
      </c>
      <c r="C538" s="17" t="str">
        <f>Ceny_n!$B$157</f>
        <v>Clip na vrut H2</v>
      </c>
      <c r="D538" s="72"/>
    </row>
    <row r="539" spans="1:6">
      <c r="A539" s="981" t="s">
        <v>1049</v>
      </c>
    </row>
    <row r="540" spans="1:6">
      <c r="A540" s="981"/>
      <c r="B540" s="1">
        <v>104717</v>
      </c>
      <c r="C540" s="1" t="s">
        <v>1028</v>
      </c>
      <c r="D540" s="1">
        <v>106403</v>
      </c>
      <c r="E540" s="1">
        <v>119240</v>
      </c>
      <c r="F540" s="1">
        <v>136276</v>
      </c>
    </row>
    <row r="541" spans="1:6">
      <c r="A541" s="981"/>
      <c r="B541" s="1">
        <v>104718</v>
      </c>
      <c r="C541" s="1" t="s">
        <v>1029</v>
      </c>
      <c r="D541" s="1">
        <v>106403</v>
      </c>
      <c r="E541" s="1">
        <v>119240</v>
      </c>
      <c r="F541" s="1">
        <v>136276</v>
      </c>
    </row>
    <row r="542" spans="1:6">
      <c r="A542" s="981"/>
      <c r="B542" s="1">
        <v>104719</v>
      </c>
      <c r="C542" s="1" t="s">
        <v>1030</v>
      </c>
      <c r="D542" s="1">
        <v>106403</v>
      </c>
      <c r="E542" s="1">
        <v>119240</v>
      </c>
      <c r="F542" s="1">
        <v>136276</v>
      </c>
    </row>
    <row r="543" spans="1:6">
      <c r="A543" s="981"/>
      <c r="B543" s="1">
        <v>104802</v>
      </c>
      <c r="C543" s="1" t="s">
        <v>1032</v>
      </c>
      <c r="D543" s="1">
        <v>106403</v>
      </c>
      <c r="E543" s="1">
        <v>119240</v>
      </c>
      <c r="F543" s="1">
        <v>136276</v>
      </c>
    </row>
    <row r="544" spans="1:6">
      <c r="A544" s="981"/>
      <c r="B544" s="1">
        <v>232346</v>
      </c>
      <c r="C544" s="1" t="s">
        <v>1034</v>
      </c>
      <c r="D544" s="1">
        <v>106403</v>
      </c>
      <c r="E544" s="1">
        <v>119240</v>
      </c>
      <c r="F544" s="1">
        <v>136276</v>
      </c>
    </row>
    <row r="545" spans="1:6">
      <c r="A545" s="981"/>
      <c r="B545" s="1">
        <v>104189</v>
      </c>
      <c r="C545" s="1" t="s">
        <v>1037</v>
      </c>
      <c r="D545" s="1">
        <v>106403</v>
      </c>
      <c r="E545" s="1">
        <v>119240</v>
      </c>
      <c r="F545" s="1">
        <v>136276</v>
      </c>
    </row>
    <row r="546" spans="1:6">
      <c r="A546" s="981"/>
      <c r="B546" s="1">
        <v>104257</v>
      </c>
      <c r="C546" s="1" t="s">
        <v>1038</v>
      </c>
      <c r="D546" s="1">
        <v>106403</v>
      </c>
      <c r="E546" s="1">
        <v>119240</v>
      </c>
      <c r="F546" s="1">
        <v>136276</v>
      </c>
    </row>
    <row r="547" spans="1:6">
      <c r="A547" s="981"/>
      <c r="B547" s="1">
        <v>104190</v>
      </c>
      <c r="C547" s="1" t="s">
        <v>1039</v>
      </c>
      <c r="D547" s="1">
        <v>106403</v>
      </c>
      <c r="E547" s="1">
        <v>119240</v>
      </c>
      <c r="F547" s="1">
        <v>136276</v>
      </c>
    </row>
    <row r="548" spans="1:6">
      <c r="A548" s="981"/>
      <c r="B548" s="1">
        <v>104191</v>
      </c>
      <c r="C548" s="1" t="s">
        <v>1040</v>
      </c>
      <c r="D548" s="1">
        <v>106403</v>
      </c>
      <c r="E548" s="1">
        <v>119240</v>
      </c>
      <c r="F548" s="1">
        <v>136276</v>
      </c>
    </row>
    <row r="549" spans="1:6">
      <c r="A549" s="981"/>
      <c r="B549" s="1">
        <v>104574</v>
      </c>
      <c r="C549" s="1" t="s">
        <v>1046</v>
      </c>
      <c r="D549" s="1">
        <v>106403</v>
      </c>
      <c r="E549" s="1">
        <v>119240</v>
      </c>
      <c r="F549" s="1">
        <v>136276</v>
      </c>
    </row>
    <row r="550" spans="1:6">
      <c r="A550" s="981"/>
      <c r="B550" s="180">
        <v>104801</v>
      </c>
      <c r="C550" s="1" t="s">
        <v>1031</v>
      </c>
      <c r="D550" s="1">
        <v>106403</v>
      </c>
      <c r="E550" s="1">
        <v>119240</v>
      </c>
      <c r="F550" s="1">
        <v>136276</v>
      </c>
    </row>
    <row r="551" spans="1:6">
      <c r="A551" s="981"/>
      <c r="B551" s="180">
        <v>264246</v>
      </c>
      <c r="C551" s="1" t="s">
        <v>1033</v>
      </c>
      <c r="D551" s="1">
        <v>106403</v>
      </c>
      <c r="E551" s="1">
        <v>119240</v>
      </c>
      <c r="F551" s="1">
        <v>136276</v>
      </c>
    </row>
    <row r="552" spans="1:6">
      <c r="A552" s="981"/>
      <c r="B552" s="180">
        <v>264266</v>
      </c>
      <c r="C552" s="1" t="s">
        <v>1035</v>
      </c>
      <c r="D552" s="1">
        <v>106403</v>
      </c>
      <c r="E552" s="1">
        <v>119240</v>
      </c>
      <c r="F552" s="1">
        <v>136276</v>
      </c>
    </row>
    <row r="553" spans="1:6">
      <c r="A553" s="981"/>
      <c r="B553" s="180">
        <v>208857</v>
      </c>
      <c r="C553" s="1" t="s">
        <v>1036</v>
      </c>
      <c r="D553" s="1">
        <v>106403</v>
      </c>
      <c r="E553" s="1">
        <v>119240</v>
      </c>
      <c r="F553" s="1">
        <v>136276</v>
      </c>
    </row>
    <row r="554" spans="1:6">
      <c r="A554" s="981"/>
      <c r="B554" s="180">
        <v>104570</v>
      </c>
      <c r="C554" s="1" t="s">
        <v>1041</v>
      </c>
      <c r="D554" s="1">
        <v>106403</v>
      </c>
      <c r="E554" s="1">
        <v>119240</v>
      </c>
      <c r="F554" s="1">
        <v>136276</v>
      </c>
    </row>
    <row r="555" spans="1:6">
      <c r="A555" s="981"/>
      <c r="B555" s="180">
        <v>104572</v>
      </c>
      <c r="C555" s="1" t="s">
        <v>1042</v>
      </c>
      <c r="D555" s="1">
        <v>106403</v>
      </c>
      <c r="E555" s="1">
        <v>119240</v>
      </c>
      <c r="F555" s="1">
        <v>136276</v>
      </c>
    </row>
    <row r="556" spans="1:6">
      <c r="A556" s="981"/>
      <c r="B556" s="180">
        <v>104199</v>
      </c>
      <c r="C556" s="1" t="s">
        <v>1043</v>
      </c>
      <c r="D556" s="1">
        <v>106403</v>
      </c>
      <c r="E556" s="1">
        <v>119240</v>
      </c>
      <c r="F556" s="1">
        <v>136276</v>
      </c>
    </row>
    <row r="557" spans="1:6">
      <c r="A557" s="981"/>
      <c r="B557" s="180">
        <v>104537</v>
      </c>
      <c r="C557" s="1" t="s">
        <v>1044</v>
      </c>
      <c r="D557" s="1">
        <v>106403</v>
      </c>
      <c r="E557" s="1">
        <v>119240</v>
      </c>
      <c r="F557" s="1">
        <v>136276</v>
      </c>
    </row>
    <row r="558" spans="1:6">
      <c r="A558" s="981"/>
      <c r="B558" s="180">
        <v>104569</v>
      </c>
      <c r="C558" s="1" t="s">
        <v>1045</v>
      </c>
      <c r="D558" s="1">
        <v>106403</v>
      </c>
      <c r="E558" s="1">
        <v>119240</v>
      </c>
      <c r="F558" s="1">
        <v>136276</v>
      </c>
    </row>
    <row r="559" spans="1:6">
      <c r="A559" s="981"/>
      <c r="B559" s="180">
        <v>288352</v>
      </c>
      <c r="C559" s="1" t="s">
        <v>1047</v>
      </c>
      <c r="D559" s="1">
        <v>106403</v>
      </c>
      <c r="E559" s="1">
        <v>119240</v>
      </c>
      <c r="F559" s="1">
        <v>136276</v>
      </c>
    </row>
    <row r="560" spans="1:6">
      <c r="A560" s="981"/>
      <c r="B560" s="180">
        <v>104076</v>
      </c>
      <c r="C560" s="1" t="s">
        <v>1048</v>
      </c>
      <c r="D560" s="1">
        <v>106403</v>
      </c>
      <c r="E560" s="1">
        <v>119240</v>
      </c>
      <c r="F560" s="1">
        <v>136276</v>
      </c>
    </row>
    <row r="561" spans="1:6">
      <c r="A561" s="1" t="s">
        <v>1050</v>
      </c>
      <c r="B561" s="1">
        <v>300282</v>
      </c>
      <c r="C561" s="1" t="s">
        <v>1073</v>
      </c>
      <c r="D561" s="1">
        <v>106403</v>
      </c>
      <c r="E561" s="1">
        <v>119240</v>
      </c>
      <c r="F561" s="1">
        <v>136276</v>
      </c>
    </row>
    <row r="562" spans="1:6">
      <c r="B562" s="1">
        <v>300284</v>
      </c>
      <c r="C562" s="1" t="s">
        <v>1074</v>
      </c>
      <c r="D562" s="1">
        <v>106403</v>
      </c>
      <c r="E562" s="1">
        <v>119240</v>
      </c>
      <c r="F562" s="1">
        <v>136276</v>
      </c>
    </row>
    <row r="563" spans="1:6">
      <c r="B563" s="1">
        <v>300279</v>
      </c>
      <c r="C563" s="1" t="s">
        <v>1028</v>
      </c>
      <c r="D563" s="1">
        <v>106403</v>
      </c>
      <c r="E563" s="1">
        <v>119240</v>
      </c>
      <c r="F563" s="1">
        <v>136276</v>
      </c>
    </row>
    <row r="564" spans="1:6">
      <c r="B564" s="1">
        <v>300281</v>
      </c>
      <c r="C564" s="1" t="s">
        <v>1030</v>
      </c>
      <c r="D564" s="1">
        <v>106403</v>
      </c>
      <c r="E564" s="1">
        <v>119240</v>
      </c>
      <c r="F564" s="1">
        <v>136276</v>
      </c>
    </row>
    <row r="565" spans="1:6">
      <c r="B565" s="1">
        <v>300801</v>
      </c>
      <c r="C565" s="1" t="s">
        <v>1037</v>
      </c>
      <c r="D565" s="1">
        <v>106403</v>
      </c>
      <c r="E565" s="1">
        <v>119240</v>
      </c>
      <c r="F565" s="1">
        <v>136276</v>
      </c>
    </row>
    <row r="566" spans="1:6">
      <c r="B566" s="1">
        <v>300803</v>
      </c>
      <c r="C566" s="1" t="s">
        <v>1040</v>
      </c>
      <c r="D566" s="1">
        <v>106403</v>
      </c>
      <c r="E566" s="1">
        <v>119240</v>
      </c>
      <c r="F566" s="1">
        <v>136276</v>
      </c>
    </row>
    <row r="567" spans="1:6">
      <c r="B567" s="1">
        <v>106403</v>
      </c>
      <c r="C567" s="1" t="s">
        <v>1052</v>
      </c>
    </row>
    <row r="568" spans="1:6">
      <c r="B568" s="1">
        <v>119240</v>
      </c>
      <c r="C568" s="1" t="s">
        <v>1053</v>
      </c>
    </row>
    <row r="569" spans="1:6">
      <c r="B569" s="1">
        <v>136276</v>
      </c>
      <c r="C569" s="1" t="s">
        <v>1054</v>
      </c>
    </row>
    <row r="570" spans="1:6">
      <c r="A570" s="1" t="s">
        <v>1075</v>
      </c>
      <c r="B570" s="1">
        <v>12002</v>
      </c>
      <c r="C570" s="1" t="s">
        <v>121</v>
      </c>
      <c r="D570" s="1">
        <v>12306</v>
      </c>
      <c r="E570" s="1">
        <v>12318</v>
      </c>
    </row>
    <row r="571" spans="1:6">
      <c r="B571" s="1">
        <v>12005</v>
      </c>
      <c r="C571" s="1" t="s">
        <v>122</v>
      </c>
      <c r="D571" s="1">
        <v>12306</v>
      </c>
      <c r="E571" s="1">
        <v>12318</v>
      </c>
    </row>
    <row r="572" spans="1:6">
      <c r="B572" s="1">
        <v>12008</v>
      </c>
      <c r="C572" s="1" t="s">
        <v>1067</v>
      </c>
      <c r="D572" s="1">
        <v>12306</v>
      </c>
      <c r="E572" s="1">
        <v>12318</v>
      </c>
    </row>
    <row r="573" spans="1:6">
      <c r="B573" s="1">
        <v>12047</v>
      </c>
      <c r="C573" s="1" t="s">
        <v>1058</v>
      </c>
      <c r="D573" s="1">
        <v>12306</v>
      </c>
      <c r="E573" s="1">
        <v>12318</v>
      </c>
    </row>
    <row r="574" spans="1:6">
      <c r="B574" s="1">
        <v>12048</v>
      </c>
      <c r="C574" s="1" t="s">
        <v>1059</v>
      </c>
      <c r="D574" s="1">
        <v>12306</v>
      </c>
      <c r="E574" s="1">
        <v>12318</v>
      </c>
    </row>
    <row r="575" spans="1:6">
      <c r="B575" s="1">
        <v>12049</v>
      </c>
      <c r="C575" s="1" t="s">
        <v>1060</v>
      </c>
      <c r="D575" s="1">
        <v>12306</v>
      </c>
      <c r="E575" s="1">
        <v>12318</v>
      </c>
    </row>
    <row r="576" spans="1:6">
      <c r="B576" s="1">
        <v>12052</v>
      </c>
      <c r="C576" s="1" t="s">
        <v>1061</v>
      </c>
      <c r="D576" s="1">
        <v>12306</v>
      </c>
      <c r="E576" s="1">
        <v>12318</v>
      </c>
    </row>
    <row r="577" spans="1:5">
      <c r="B577" s="1">
        <v>12053</v>
      </c>
      <c r="C577" s="1" t="s">
        <v>1062</v>
      </c>
      <c r="D577" s="1">
        <v>12306</v>
      </c>
      <c r="E577" s="1">
        <v>12318</v>
      </c>
    </row>
    <row r="578" spans="1:5">
      <c r="B578" s="1">
        <v>12059</v>
      </c>
      <c r="C578" s="1" t="s">
        <v>1063</v>
      </c>
      <c r="D578" s="1">
        <v>12306</v>
      </c>
      <c r="E578" s="1">
        <v>12318</v>
      </c>
    </row>
    <row r="579" spans="1:5">
      <c r="B579" s="1">
        <v>226668</v>
      </c>
      <c r="C579" s="1" t="s">
        <v>1064</v>
      </c>
      <c r="D579" s="1">
        <v>12306</v>
      </c>
      <c r="E579" s="1">
        <v>12318</v>
      </c>
    </row>
    <row r="580" spans="1:5">
      <c r="B580" s="1">
        <v>226670</v>
      </c>
      <c r="C580" s="1" t="s">
        <v>1065</v>
      </c>
      <c r="D580" s="1">
        <v>12306</v>
      </c>
      <c r="E580" s="1">
        <v>12318</v>
      </c>
    </row>
    <row r="581" spans="1:5">
      <c r="B581" s="1">
        <v>226671</v>
      </c>
      <c r="C581" s="1" t="s">
        <v>1066</v>
      </c>
      <c r="D581" s="1">
        <v>12306</v>
      </c>
      <c r="E581" s="1">
        <v>12318</v>
      </c>
    </row>
    <row r="582" spans="1:5">
      <c r="A582" s="1" t="s">
        <v>1076</v>
      </c>
      <c r="B582" s="1">
        <v>12106</v>
      </c>
      <c r="C582" s="1" t="s">
        <v>121</v>
      </c>
      <c r="D582" s="1">
        <v>12306</v>
      </c>
      <c r="E582" s="1">
        <v>12318</v>
      </c>
    </row>
    <row r="583" spans="1:5">
      <c r="B583" s="1">
        <v>12107</v>
      </c>
      <c r="C583" s="1" t="s">
        <v>122</v>
      </c>
      <c r="D583" s="1">
        <v>12306</v>
      </c>
      <c r="E583" s="1">
        <v>12318</v>
      </c>
    </row>
    <row r="584" spans="1:5">
      <c r="B584" s="1">
        <v>12108</v>
      </c>
      <c r="C584" s="1" t="s">
        <v>123</v>
      </c>
      <c r="D584" s="1">
        <v>12306</v>
      </c>
      <c r="E584" s="1">
        <v>12318</v>
      </c>
    </row>
    <row r="585" spans="1:5">
      <c r="B585" s="1">
        <v>118033</v>
      </c>
      <c r="C585" s="1" t="s">
        <v>1068</v>
      </c>
      <c r="D585" s="1">
        <v>12306</v>
      </c>
      <c r="E585" s="1">
        <v>12318</v>
      </c>
    </row>
    <row r="586" spans="1:5">
      <c r="B586" s="1">
        <v>118120</v>
      </c>
      <c r="C586" s="1" t="s">
        <v>1069</v>
      </c>
      <c r="D586" s="1">
        <v>12306</v>
      </c>
      <c r="E586" s="1">
        <v>12318</v>
      </c>
    </row>
    <row r="587" spans="1:5">
      <c r="B587" s="1">
        <v>118121</v>
      </c>
      <c r="C587" s="1" t="s">
        <v>1070</v>
      </c>
      <c r="D587" s="1">
        <v>12306</v>
      </c>
      <c r="E587" s="1">
        <v>12318</v>
      </c>
    </row>
    <row r="588" spans="1:5">
      <c r="B588" s="1">
        <v>12109</v>
      </c>
      <c r="C588" s="1" t="s">
        <v>1071</v>
      </c>
      <c r="D588" s="1">
        <v>12306</v>
      </c>
      <c r="E588" s="1">
        <v>12318</v>
      </c>
    </row>
    <row r="589" spans="1:5">
      <c r="B589" s="1">
        <v>13764</v>
      </c>
      <c r="C589" s="1" t="s">
        <v>1072</v>
      </c>
      <c r="D589" s="1">
        <v>12306</v>
      </c>
      <c r="E589" s="1">
        <v>12318</v>
      </c>
    </row>
    <row r="590" spans="1:5">
      <c r="A590" s="1" t="s">
        <v>1077</v>
      </c>
      <c r="B590" s="1">
        <v>12318</v>
      </c>
      <c r="C590" s="1" t="s">
        <v>208</v>
      </c>
    </row>
    <row r="591" spans="1:5">
      <c r="B591" s="1">
        <v>12306</v>
      </c>
      <c r="C591" s="1" t="s">
        <v>207</v>
      </c>
    </row>
    <row r="592" spans="1:5">
      <c r="B592" s="1">
        <v>12319</v>
      </c>
      <c r="C592" s="1" t="s">
        <v>209</v>
      </c>
    </row>
  </sheetData>
  <dataConsolidate/>
  <mergeCells count="339">
    <mergeCell ref="B329:F342"/>
    <mergeCell ref="G329:AC342"/>
    <mergeCell ref="D320:G320"/>
    <mergeCell ref="S320:W320"/>
    <mergeCell ref="I322:K322"/>
    <mergeCell ref="L322:Q322"/>
    <mergeCell ref="Z323:AB324"/>
    <mergeCell ref="AC323:AC324"/>
    <mergeCell ref="Z325:AB326"/>
    <mergeCell ref="AC325:AC326"/>
    <mergeCell ref="Z327:AC328"/>
    <mergeCell ref="Y306:Y312"/>
    <mergeCell ref="AA306:AB306"/>
    <mergeCell ref="AA307:AA310"/>
    <mergeCell ref="AB307:AC310"/>
    <mergeCell ref="U309:U310"/>
    <mergeCell ref="D313:D314"/>
    <mergeCell ref="W313:W314"/>
    <mergeCell ref="L314:N314"/>
    <mergeCell ref="S314:S316"/>
    <mergeCell ref="D315:D319"/>
    <mergeCell ref="W315:W319"/>
    <mergeCell ref="J317:J318"/>
    <mergeCell ref="AA297:AB297"/>
    <mergeCell ref="Y298:Y305"/>
    <mergeCell ref="AA298:AB298"/>
    <mergeCell ref="AA299:AB299"/>
    <mergeCell ref="AA300:AB300"/>
    <mergeCell ref="S301:S305"/>
    <mergeCell ref="AA301:AB301"/>
    <mergeCell ref="AF301:AF303"/>
    <mergeCell ref="AA304:AB304"/>
    <mergeCell ref="AA305:AB305"/>
    <mergeCell ref="C290:AC290"/>
    <mergeCell ref="AJ291:AK291"/>
    <mergeCell ref="D292:G292"/>
    <mergeCell ref="S292:W292"/>
    <mergeCell ref="AA292:AB292"/>
    <mergeCell ref="D293:D296"/>
    <mergeCell ref="W293:W296"/>
    <mergeCell ref="AA293:AB293"/>
    <mergeCell ref="BB293:BG293"/>
    <mergeCell ref="AA294:AB294"/>
    <mergeCell ref="AA295:AB295"/>
    <mergeCell ref="AP295:AQ295"/>
    <mergeCell ref="AA296:AB296"/>
    <mergeCell ref="AL296:AN296"/>
    <mergeCell ref="AS296:AT296"/>
    <mergeCell ref="I268:K268"/>
    <mergeCell ref="L268:Q268"/>
    <mergeCell ref="Z269:AB270"/>
    <mergeCell ref="AC269:AC270"/>
    <mergeCell ref="Z271:AB272"/>
    <mergeCell ref="AC271:AC272"/>
    <mergeCell ref="Z273:AC274"/>
    <mergeCell ref="B275:F288"/>
    <mergeCell ref="G275:AC288"/>
    <mergeCell ref="D259:D260"/>
    <mergeCell ref="W259:W260"/>
    <mergeCell ref="L260:N260"/>
    <mergeCell ref="S260:S262"/>
    <mergeCell ref="D261:D265"/>
    <mergeCell ref="W261:W265"/>
    <mergeCell ref="J263:J264"/>
    <mergeCell ref="D266:G266"/>
    <mergeCell ref="S266:W266"/>
    <mergeCell ref="S247:S251"/>
    <mergeCell ref="AA247:AB247"/>
    <mergeCell ref="AF247:AF249"/>
    <mergeCell ref="AA250:AB250"/>
    <mergeCell ref="AA251:AB251"/>
    <mergeCell ref="Y252:Y258"/>
    <mergeCell ref="AA252:AB252"/>
    <mergeCell ref="AA253:AA256"/>
    <mergeCell ref="AB253:AC256"/>
    <mergeCell ref="U255:U256"/>
    <mergeCell ref="BB239:BG239"/>
    <mergeCell ref="AA240:AB240"/>
    <mergeCell ref="AA241:AB241"/>
    <mergeCell ref="AP241:AQ241"/>
    <mergeCell ref="AA242:AB242"/>
    <mergeCell ref="AL242:AN242"/>
    <mergeCell ref="AS242:AT242"/>
    <mergeCell ref="AA243:AB243"/>
    <mergeCell ref="Y244:Y251"/>
    <mergeCell ref="AA244:AB244"/>
    <mergeCell ref="AA245:AB245"/>
    <mergeCell ref="AA246:AB246"/>
    <mergeCell ref="B221:F234"/>
    <mergeCell ref="G221:AC234"/>
    <mergeCell ref="C236:AC236"/>
    <mergeCell ref="AJ237:AK237"/>
    <mergeCell ref="D238:G238"/>
    <mergeCell ref="S238:W238"/>
    <mergeCell ref="AA238:AB238"/>
    <mergeCell ref="D239:D242"/>
    <mergeCell ref="W239:W242"/>
    <mergeCell ref="AA239:AB239"/>
    <mergeCell ref="D212:G212"/>
    <mergeCell ref="S212:W212"/>
    <mergeCell ref="I214:K214"/>
    <mergeCell ref="L214:Q214"/>
    <mergeCell ref="Z215:AB216"/>
    <mergeCell ref="AC215:AC216"/>
    <mergeCell ref="Z217:AB218"/>
    <mergeCell ref="AC217:AC218"/>
    <mergeCell ref="Z219:AC220"/>
    <mergeCell ref="D205:D206"/>
    <mergeCell ref="W205:W206"/>
    <mergeCell ref="L206:N206"/>
    <mergeCell ref="S206:S208"/>
    <mergeCell ref="D207:D211"/>
    <mergeCell ref="W207:W211"/>
    <mergeCell ref="J209:J210"/>
    <mergeCell ref="AS188:AT188"/>
    <mergeCell ref="AA206:AC208"/>
    <mergeCell ref="AA209:AC209"/>
    <mergeCell ref="S193:S197"/>
    <mergeCell ref="AA193:AB193"/>
    <mergeCell ref="AF193:AF195"/>
    <mergeCell ref="AA196:AB196"/>
    <mergeCell ref="AA197:AB197"/>
    <mergeCell ref="Y198:Y204"/>
    <mergeCell ref="AB199:AC202"/>
    <mergeCell ref="AA189:AB189"/>
    <mergeCell ref="AA198:AB198"/>
    <mergeCell ref="AA199:AA202"/>
    <mergeCell ref="U201:U202"/>
    <mergeCell ref="Y190:Y197"/>
    <mergeCell ref="AA190:AB190"/>
    <mergeCell ref="AA191:AB191"/>
    <mergeCell ref="D185:D188"/>
    <mergeCell ref="L160:Q160"/>
    <mergeCell ref="Z161:AB162"/>
    <mergeCell ref="Z163:AB164"/>
    <mergeCell ref="I160:K160"/>
    <mergeCell ref="AJ183:AK183"/>
    <mergeCell ref="S184:W184"/>
    <mergeCell ref="AA184:AB184"/>
    <mergeCell ref="BB185:BG185"/>
    <mergeCell ref="AA186:AB186"/>
    <mergeCell ref="AA187:AB187"/>
    <mergeCell ref="AP187:AQ187"/>
    <mergeCell ref="W185:W188"/>
    <mergeCell ref="AA185:AB185"/>
    <mergeCell ref="AL188:AN188"/>
    <mergeCell ref="AA188:AB188"/>
    <mergeCell ref="AF139:AF141"/>
    <mergeCell ref="AA142:AB142"/>
    <mergeCell ref="AA143:AB143"/>
    <mergeCell ref="AA135:AB135"/>
    <mergeCell ref="AA136:AB136"/>
    <mergeCell ref="AA137:AB137"/>
    <mergeCell ref="AA134:AB134"/>
    <mergeCell ref="S139:S143"/>
    <mergeCell ref="AC161:AC162"/>
    <mergeCell ref="U147:U148"/>
    <mergeCell ref="Y144:Y150"/>
    <mergeCell ref="AA144:AB144"/>
    <mergeCell ref="AA145:AA148"/>
    <mergeCell ref="AB145:AC148"/>
    <mergeCell ref="Z136:Z150"/>
    <mergeCell ref="AA155:AC155"/>
    <mergeCell ref="AA139:AB139"/>
    <mergeCell ref="Y136:Y143"/>
    <mergeCell ref="W151:W152"/>
    <mergeCell ref="S152:S154"/>
    <mergeCell ref="W153:W157"/>
    <mergeCell ref="S158:W158"/>
    <mergeCell ref="AA152:AC154"/>
    <mergeCell ref="BB131:BG131"/>
    <mergeCell ref="AA132:AB132"/>
    <mergeCell ref="AA133:AB133"/>
    <mergeCell ref="AP133:AQ133"/>
    <mergeCell ref="D131:D134"/>
    <mergeCell ref="W131:W134"/>
    <mergeCell ref="AJ129:AK129"/>
    <mergeCell ref="D130:G130"/>
    <mergeCell ref="S130:W130"/>
    <mergeCell ref="AA130:AB130"/>
    <mergeCell ref="AL134:AN134"/>
    <mergeCell ref="AS134:AT134"/>
    <mergeCell ref="AF85:AF87"/>
    <mergeCell ref="AA88:AB88"/>
    <mergeCell ref="AA89:AB89"/>
    <mergeCell ref="Y90:Y96"/>
    <mergeCell ref="AA90:AB90"/>
    <mergeCell ref="U93:U94"/>
    <mergeCell ref="D97:D98"/>
    <mergeCell ref="W97:W98"/>
    <mergeCell ref="L98:N98"/>
    <mergeCell ref="S98:S100"/>
    <mergeCell ref="D99:D103"/>
    <mergeCell ref="W99:W103"/>
    <mergeCell ref="J101:J102"/>
    <mergeCell ref="AA101:AC101"/>
    <mergeCell ref="AJ75:AK75"/>
    <mergeCell ref="D76:G76"/>
    <mergeCell ref="S76:W76"/>
    <mergeCell ref="AA76:AB76"/>
    <mergeCell ref="D77:D80"/>
    <mergeCell ref="W77:W80"/>
    <mergeCell ref="AA77:AB77"/>
    <mergeCell ref="BB77:BG77"/>
    <mergeCell ref="AA78:AB78"/>
    <mergeCell ref="AA79:AB79"/>
    <mergeCell ref="AP79:AQ79"/>
    <mergeCell ref="AA80:AB80"/>
    <mergeCell ref="AL80:AN80"/>
    <mergeCell ref="AS80:AT80"/>
    <mergeCell ref="A539:A560"/>
    <mergeCell ref="B17:F17"/>
    <mergeCell ref="G18:Z18"/>
    <mergeCell ref="G17:Z17"/>
    <mergeCell ref="AA22:AB22"/>
    <mergeCell ref="L44:N44"/>
    <mergeCell ref="S44:S46"/>
    <mergeCell ref="A520:A521"/>
    <mergeCell ref="D524:D525"/>
    <mergeCell ref="AA23:AB23"/>
    <mergeCell ref="A531:A532"/>
    <mergeCell ref="D535:D536"/>
    <mergeCell ref="A510:A511"/>
    <mergeCell ref="D514:D515"/>
    <mergeCell ref="A503:A509"/>
    <mergeCell ref="A476:A479"/>
    <mergeCell ref="A480:A485"/>
    <mergeCell ref="A516:A519"/>
    <mergeCell ref="A527:A530"/>
    <mergeCell ref="A495:A502"/>
    <mergeCell ref="B18:F18"/>
    <mergeCell ref="J47:J48"/>
    <mergeCell ref="AA98:AC100"/>
    <mergeCell ref="Z82:Z96"/>
    <mergeCell ref="B9:AC9"/>
    <mergeCell ref="B16:F16"/>
    <mergeCell ref="AB14:AB17"/>
    <mergeCell ref="AC14:AC17"/>
    <mergeCell ref="G14:Z14"/>
    <mergeCell ref="AA31:AB31"/>
    <mergeCell ref="AA30:AB30"/>
    <mergeCell ref="AA26:AB26"/>
    <mergeCell ref="G15:Z15"/>
    <mergeCell ref="G16:Z16"/>
    <mergeCell ref="B13:F13"/>
    <mergeCell ref="G13:Z13"/>
    <mergeCell ref="B15:F15"/>
    <mergeCell ref="B14:F14"/>
    <mergeCell ref="B2:AC2"/>
    <mergeCell ref="G59:AC72"/>
    <mergeCell ref="B3:X7"/>
    <mergeCell ref="S50:W50"/>
    <mergeCell ref="Y3:AC7"/>
    <mergeCell ref="S22:W22"/>
    <mergeCell ref="C20:AC20"/>
    <mergeCell ref="W23:W26"/>
    <mergeCell ref="B10:AC10"/>
    <mergeCell ref="B11:AC11"/>
    <mergeCell ref="AA24:AB24"/>
    <mergeCell ref="Y28:Y35"/>
    <mergeCell ref="AA25:AB25"/>
    <mergeCell ref="B59:F72"/>
    <mergeCell ref="D22:G22"/>
    <mergeCell ref="D23:D26"/>
    <mergeCell ref="D45:D49"/>
    <mergeCell ref="W45:W49"/>
    <mergeCell ref="D43:D44"/>
    <mergeCell ref="S31:S35"/>
    <mergeCell ref="AA47:AC47"/>
    <mergeCell ref="AA34:AB34"/>
    <mergeCell ref="AC55:AC56"/>
    <mergeCell ref="Z55:AB56"/>
    <mergeCell ref="BB23:BG23"/>
    <mergeCell ref="AP25:AQ25"/>
    <mergeCell ref="AJ21:AK21"/>
    <mergeCell ref="U39:U40"/>
    <mergeCell ref="D50:G50"/>
    <mergeCell ref="A486:A493"/>
    <mergeCell ref="D490:D497"/>
    <mergeCell ref="I52:K52"/>
    <mergeCell ref="L52:Q52"/>
    <mergeCell ref="Y36:Y42"/>
    <mergeCell ref="W43:W44"/>
    <mergeCell ref="C74:AC74"/>
    <mergeCell ref="AL26:AN26"/>
    <mergeCell ref="AS26:AT26"/>
    <mergeCell ref="AA35:AB35"/>
    <mergeCell ref="AA27:AB27"/>
    <mergeCell ref="AA37:AA40"/>
    <mergeCell ref="AB37:AC40"/>
    <mergeCell ref="AA36:AB36"/>
    <mergeCell ref="AF31:AF33"/>
    <mergeCell ref="AA28:AB28"/>
    <mergeCell ref="AA29:AB29"/>
    <mergeCell ref="AA44:AC46"/>
    <mergeCell ref="Z28:Z42"/>
    <mergeCell ref="AC53:AC54"/>
    <mergeCell ref="Z53:AB54"/>
    <mergeCell ref="Z57:AC58"/>
    <mergeCell ref="AA81:AB81"/>
    <mergeCell ref="AC107:AC108"/>
    <mergeCell ref="AB91:AC94"/>
    <mergeCell ref="AA131:AB131"/>
    <mergeCell ref="AA138:AB138"/>
    <mergeCell ref="D104:G104"/>
    <mergeCell ref="S104:W104"/>
    <mergeCell ref="AA82:AB82"/>
    <mergeCell ref="AA83:AB83"/>
    <mergeCell ref="AA84:AB84"/>
    <mergeCell ref="S85:S89"/>
    <mergeCell ref="AA85:AB85"/>
    <mergeCell ref="Y82:Y89"/>
    <mergeCell ref="AA91:AA94"/>
    <mergeCell ref="B113:F126"/>
    <mergeCell ref="G113:AC126"/>
    <mergeCell ref="AA260:AC262"/>
    <mergeCell ref="AA263:AC263"/>
    <mergeCell ref="AA314:AC316"/>
    <mergeCell ref="AA317:AC317"/>
    <mergeCell ref="C128:AC128"/>
    <mergeCell ref="Z109:AB110"/>
    <mergeCell ref="AC109:AC110"/>
    <mergeCell ref="Z111:AC112"/>
    <mergeCell ref="I106:K106"/>
    <mergeCell ref="L106:Q106"/>
    <mergeCell ref="Z107:AB108"/>
    <mergeCell ref="AC163:AC164"/>
    <mergeCell ref="B167:F180"/>
    <mergeCell ref="Z165:AC166"/>
    <mergeCell ref="D151:D152"/>
    <mergeCell ref="L152:N152"/>
    <mergeCell ref="D153:D157"/>
    <mergeCell ref="J155:J156"/>
    <mergeCell ref="D158:G158"/>
    <mergeCell ref="AA192:AB192"/>
    <mergeCell ref="Z190:Z204"/>
    <mergeCell ref="G167:AC180"/>
    <mergeCell ref="D184:G184"/>
    <mergeCell ref="C182:AC182"/>
  </mergeCells>
  <conditionalFormatting sqref="H22 R22 D27 W27 D43:D44 W43:W44 H50 R50">
    <cfRule type="cellIs" dxfId="11" priority="118" stopIfTrue="1" operator="equal">
      <formula>1</formula>
    </cfRule>
  </conditionalFormatting>
  <conditionalFormatting sqref="H76 R76 D81 W81 D97:D98 W97:W98 H104 R104">
    <cfRule type="cellIs" dxfId="10" priority="6" stopIfTrue="1" operator="equal">
      <formula>1</formula>
    </cfRule>
  </conditionalFormatting>
  <conditionalFormatting sqref="H130 R130 D135 W135 D151:D152 W151:W152 H158 R158">
    <cfRule type="cellIs" dxfId="9" priority="4" stopIfTrue="1" operator="equal">
      <formula>1</formula>
    </cfRule>
  </conditionalFormatting>
  <conditionalFormatting sqref="H184 R184 D189 W189 D205:D206 W205:W206 H212 R212">
    <cfRule type="cellIs" dxfId="8" priority="2" stopIfTrue="1" operator="equal">
      <formula>1</formula>
    </cfRule>
  </conditionalFormatting>
  <conditionalFormatting sqref="H238 R238 D243 W243 D259:D260 W259:W260 H266 R266">
    <cfRule type="cellIs" dxfId="7" priority="12" stopIfTrue="1" operator="equal">
      <formula>1</formula>
    </cfRule>
  </conditionalFormatting>
  <conditionalFormatting sqref="H292 R292 D297 W297 D313:D314 W313:W314 H320 R320">
    <cfRule type="cellIs" dxfId="6" priority="10" stopIfTrue="1" operator="equal">
      <formula>1</formula>
    </cfRule>
  </conditionalFormatting>
  <conditionalFormatting sqref="K22 M22 O22 D30 W30 D34:D36 W34:W36 K50 M50 O50">
    <cfRule type="cellIs" dxfId="5" priority="112" stopIfTrue="1" operator="equal">
      <formula>1</formula>
    </cfRule>
  </conditionalFormatting>
  <conditionalFormatting sqref="K76 M76 O76 D84 W84 D88:D90 W88:W90 K104 M104 O104">
    <cfRule type="cellIs" dxfId="4" priority="5" stopIfTrue="1" operator="equal">
      <formula>1</formula>
    </cfRule>
  </conditionalFormatting>
  <conditionalFormatting sqref="K130 M130 O130 D138 W138 D142:D144 W142:W144 K158 M158 O158">
    <cfRule type="cellIs" dxfId="3" priority="3" stopIfTrue="1" operator="equal">
      <formula>1</formula>
    </cfRule>
  </conditionalFormatting>
  <conditionalFormatting sqref="K184 M184 O184 D192 W192 D196:D198 W196:W198 K212 M212 O212">
    <cfRule type="cellIs" dxfId="2" priority="1" stopIfTrue="1" operator="equal">
      <formula>1</formula>
    </cfRule>
  </conditionalFormatting>
  <conditionalFormatting sqref="K238 M238 O238 D246 W246 D250:D252 W250:W252 K266 M266 O266">
    <cfRule type="cellIs" dxfId="1" priority="11" stopIfTrue="1" operator="equal">
      <formula>1</formula>
    </cfRule>
  </conditionalFormatting>
  <conditionalFormatting sqref="K292 M292 O292 D300 W300 D304:D306 W304:W306 K320 M320 O320">
    <cfRule type="cellIs" dxfId="0" priority="9" stopIfTrue="1" operator="equal">
      <formula>1</formula>
    </cfRule>
  </conditionalFormatting>
  <dataValidations count="39">
    <dataValidation type="list" allowBlank="1" sqref="AC29" xr:uid="{AB041440-4EB2-4E42-BC02-F87C63100B60}">
      <formula1>T1_PODLOZKA_TYPY</formula1>
    </dataValidation>
    <dataValidation type="list" allowBlank="1" showInputMessage="1" showErrorMessage="1" sqref="AC30 AC84 AC138 AC192 AC246 AC300" xr:uid="{66ED9A25-D803-46A7-A538-7C2F50365EB3}">
      <formula1>AH34:AH37</formula1>
    </dataValidation>
    <dataValidation type="list" allowBlank="1" sqref="AC27" xr:uid="{7732041C-3429-4DF4-B20C-9035B4D7B9B0}">
      <formula1>RADEK_1_5</formula1>
    </dataValidation>
    <dataValidation type="list" allowBlank="1" showInputMessage="1" showErrorMessage="1" sqref="AC35" xr:uid="{EB726B68-2F27-48FE-B9A7-F0D3587AB24C}">
      <formula1>T1_VYKLOPY</formula1>
    </dataValidation>
    <dataValidation type="list" allowBlank="1" sqref="AC28" xr:uid="{811D3DD4-CB0A-4E66-9ACF-32642F633E9F}">
      <formula1>RADEK_1_6</formula1>
    </dataValidation>
    <dataValidation type="list" allowBlank="1" showInputMessage="1" showErrorMessage="1" sqref="AC306 AC252" xr:uid="{C2911AE2-D802-49D0-B93D-12C90D18CAA4}">
      <formula1>IF($AC$251=0,PRAZDNE_1,UMISTENI_VYKLOP)</formula1>
    </dataValidation>
    <dataValidation type="list" allowBlank="1" sqref="AC81" xr:uid="{40274F7C-08E0-4430-A884-7F2AB1E7CD4E}">
      <formula1>RADEK_2_5</formula1>
    </dataValidation>
    <dataValidation type="list" allowBlank="1" sqref="AC82" xr:uid="{F70FB7D0-8693-421D-BFBE-C6DAEB2D5E06}">
      <formula1>RADEK_2_6</formula1>
    </dataValidation>
    <dataValidation type="list" allowBlank="1" sqref="AC135" xr:uid="{6B47197B-F8D9-4AD1-9162-312E4434C592}">
      <formula1>RADEK_3_5</formula1>
    </dataValidation>
    <dataValidation type="list" allowBlank="1" sqref="AC136" xr:uid="{A471A1AE-39BF-423E-8D9B-55B7547CFDBF}">
      <formula1>RADEK_3_6</formula1>
    </dataValidation>
    <dataValidation type="list" allowBlank="1" sqref="AC189" xr:uid="{3419E3BF-10E6-4B2A-ABD6-C7EBBA3059D4}">
      <formula1>RADEK_4_5</formula1>
    </dataValidation>
    <dataValidation type="list" allowBlank="1" sqref="AC190" xr:uid="{912B44B2-AF56-439B-9CAC-6690778C1A04}">
      <formula1>RADEK_4_6</formula1>
    </dataValidation>
    <dataValidation type="list" allowBlank="1" sqref="AC243" xr:uid="{1119C7EF-2087-4E10-AF5F-889CCBFF6791}">
      <formula1>RADEK_5_5</formula1>
    </dataValidation>
    <dataValidation type="list" allowBlank="1" sqref="AC244" xr:uid="{85550FE5-8EC0-48E3-B942-D535884412EF}">
      <formula1>RADEK_5_6</formula1>
    </dataValidation>
    <dataValidation type="list" allowBlank="1" sqref="AC297" xr:uid="{E3C97D67-9B1B-403F-8AFE-EE92C4457939}">
      <formula1>RADEK_6_5</formula1>
    </dataValidation>
    <dataValidation type="list" allowBlank="1" sqref="AC298" xr:uid="{022F6533-0753-4BF5-9CDE-D9295CE4752A}">
      <formula1>RADEK_6_6</formula1>
    </dataValidation>
    <dataValidation type="list" allowBlank="1" sqref="AC83" xr:uid="{E0BE0759-D7EB-411E-A436-A95FC9FB5756}">
      <formula1>T2_PODLOZKA_TYPY</formula1>
    </dataValidation>
    <dataValidation type="list" allowBlank="1" showInputMessage="1" showErrorMessage="1" sqref="AC89" xr:uid="{8B92A745-AC08-492E-B4FA-A7C342482801}">
      <formula1>T2_VYKLOPY</formula1>
    </dataValidation>
    <dataValidation type="list" allowBlank="1" showInputMessage="1" showErrorMessage="1" sqref="AC24" xr:uid="{0D6AF6B1-1409-408E-979F-55E1C720CA7F}">
      <formula1>SKLO_VYBER_T1</formula1>
    </dataValidation>
    <dataValidation type="list" allowBlank="1" showInputMessage="1" showErrorMessage="1" sqref="AC34 AC88 AC142 AC196 AC250 AC304" xr:uid="{F9FC0F86-6BBB-4810-9C30-6844083A19B4}">
      <formula1>AG50:AG53</formula1>
    </dataValidation>
    <dataValidation type="list" allowBlank="1" showInputMessage="1" showErrorMessage="1" sqref="AC26 AC80 AC134 AC188 AC242 AC296" xr:uid="{C9A2A68D-8283-4344-8EE9-3C0760A85CE0}">
      <formula1>$AF25:$AF28</formula1>
    </dataValidation>
    <dataValidation type="list" allowBlank="1" showInputMessage="1" showErrorMessage="1" sqref="AC78" xr:uid="{38341F14-6547-4E18-95D3-30814C66DD16}">
      <formula1>SKLO_VYBER_T2</formula1>
    </dataValidation>
    <dataValidation type="list" allowBlank="1" showInputMessage="1" showErrorMessage="1" sqref="AC132" xr:uid="{254B481F-895B-430D-8B0B-BC9F61A29256}">
      <formula1>SKLO_VYBER_T3</formula1>
    </dataValidation>
    <dataValidation type="list" allowBlank="1" showInputMessage="1" showErrorMessage="1" sqref="AC186" xr:uid="{4AB67C45-6896-4A15-8C2B-82E0CF6A79BD}">
      <formula1>SKLO_VYBER_T4</formula1>
    </dataValidation>
    <dataValidation type="list" allowBlank="1" showInputMessage="1" showErrorMessage="1" sqref="AC240" xr:uid="{FB8E1415-DA89-4FC1-823B-21E79C331EF0}">
      <formula1>SKLO_VYBER_T5</formula1>
    </dataValidation>
    <dataValidation type="list" allowBlank="1" showInputMessage="1" showErrorMessage="1" sqref="AC294" xr:uid="{2F83275F-087A-47F4-87E4-7FC6D401BCCC}">
      <formula1>SKLO_VYBER_T6</formula1>
    </dataValidation>
    <dataValidation type="list" allowBlank="1" showInputMessage="1" showErrorMessage="1" sqref="AC143" xr:uid="{D2CC502C-F8E6-4CF2-9EA6-73070C3E2859}">
      <formula1>T3_VYKLOPY</formula1>
    </dataValidation>
    <dataValidation type="list" allowBlank="1" showInputMessage="1" showErrorMessage="1" sqref="AC197" xr:uid="{C415105C-B214-4E4C-924F-DC817B55F716}">
      <formula1>T4_VYKLOPY</formula1>
    </dataValidation>
    <dataValidation type="list" allowBlank="1" showInputMessage="1" showErrorMessage="1" sqref="AC251" xr:uid="{2C1BF11C-F881-4A1D-8624-052065289FF1}">
      <formula1>T5_VYKLOPY</formula1>
    </dataValidation>
    <dataValidation type="list" allowBlank="1" showInputMessage="1" showErrorMessage="1" sqref="AC305" xr:uid="{4036F0EA-195A-42B7-9AA2-9632246D8EE0}">
      <formula1>T6_VYKLOPY</formula1>
    </dataValidation>
    <dataValidation type="list" allowBlank="1" sqref="AC137" xr:uid="{F4562421-8DA0-4112-985D-854511C981BA}">
      <formula1>T3_PODLOZKA_TYPY</formula1>
    </dataValidation>
    <dataValidation type="list" allowBlank="1" sqref="AC191" xr:uid="{D9F05068-37D0-42CF-825A-93DE66BE28DF}">
      <formula1>T4_PODLOZKA_TYPY</formula1>
    </dataValidation>
    <dataValidation type="list" allowBlank="1" sqref="AC245" xr:uid="{938AAAD9-63C9-4A5B-83D7-FF58AA76558F}">
      <formula1>T5_PODLOZKA_TYPY</formula1>
    </dataValidation>
    <dataValidation type="list" allowBlank="1" sqref="AC299" xr:uid="{644BE266-69A0-4504-A647-277CE27C5F60}">
      <formula1>T6_PODLOZKA_TYPY</formula1>
    </dataValidation>
    <dataValidation type="list" allowBlank="1" showInputMessage="1" showErrorMessage="1" sqref="AC36" xr:uid="{37A31610-AE64-4961-BBA9-F3D3477C78FF}">
      <formula1>IF($AC$35=0,PRAZDNE_1,UMISTENI_VYKLOP)</formula1>
    </dataValidation>
    <dataValidation type="list" allowBlank="1" showInputMessage="1" showErrorMessage="1" sqref="AC90" xr:uid="{3E62BADA-E33A-4498-85C6-31F9D0E60DA3}">
      <formula1>IF($AC$89=0,PRAZDNE_1,UMISTENI_VYKLOP)</formula1>
    </dataValidation>
    <dataValidation type="list" allowBlank="1" showInputMessage="1" showErrorMessage="1" sqref="AC144" xr:uid="{41DB2C40-DA07-4043-83C8-91F9DD0A5985}">
      <formula1>IF($AC$143=0,PRAZDNE_1,UMISTENI_VYKLOP)</formula1>
    </dataValidation>
    <dataValidation type="list" allowBlank="1" showInputMessage="1" showErrorMessage="1" sqref="AC198" xr:uid="{0870D70F-7D9C-4A98-B063-07686F497059}">
      <formula1>IF($AC$197=0,PRAZDNE_1,UMISTENI_VYKLOP)</formula1>
    </dataValidation>
    <dataValidation type="list" allowBlank="1" showInputMessage="1" showErrorMessage="1" sqref="AC293 AC239 AC185 AC131 AC77 AC23" xr:uid="{99ACA004-D669-4335-956A-A88D394C297B}">
      <formula1>$B$347:$B$389</formula1>
    </dataValidation>
  </dataValidations>
  <pageMargins left="0.70866141732283472" right="0.70866141732283472" top="0.78740157480314965" bottom="0.78740157480314965" header="0.31496062992125984" footer="0.31496062992125984"/>
  <pageSetup paperSize="9" scale="41" fitToHeight="3" orientation="portrait"/>
  <rowBreaks count="2" manualBreakCount="2">
    <brk id="127" max="16383" man="1"/>
    <brk id="2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16303" r:id="rId3" name="Check Box 1967">
              <controlPr locked="0" defaultSize="0" autoFill="0" autoLine="0" autoPict="0">
                <anchor moveWithCells="1">
                  <from>
                    <xdr:col>26</xdr:col>
                    <xdr:colOff>762000</xdr:colOff>
                    <xdr:row>36</xdr:row>
                    <xdr:rowOff>38100</xdr:rowOff>
                  </from>
                  <to>
                    <xdr:col>26</xdr:col>
                    <xdr:colOff>942975</xdr:colOff>
                    <xdr:row>37</xdr:row>
                    <xdr:rowOff>142875</xdr:rowOff>
                  </to>
                </anchor>
              </controlPr>
            </control>
          </mc:Choice>
        </mc:AlternateContent>
        <mc:AlternateContent xmlns:mc="http://schemas.openxmlformats.org/markup-compatibility/2006">
          <mc:Choice Requires="x14">
            <control shapeId="54350" r:id="rId4" name="Check Box 8270">
              <controlPr locked="0" defaultSize="0" autoFill="0" autoLine="0" autoPict="0">
                <anchor moveWithCells="1">
                  <from>
                    <xdr:col>26</xdr:col>
                    <xdr:colOff>666750</xdr:colOff>
                    <xdr:row>90</xdr:row>
                    <xdr:rowOff>28575</xdr:rowOff>
                  </from>
                  <to>
                    <xdr:col>26</xdr:col>
                    <xdr:colOff>800100</xdr:colOff>
                    <xdr:row>91</xdr:row>
                    <xdr:rowOff>0</xdr:rowOff>
                  </to>
                </anchor>
              </controlPr>
            </control>
          </mc:Choice>
        </mc:AlternateContent>
        <mc:AlternateContent xmlns:mc="http://schemas.openxmlformats.org/markup-compatibility/2006">
          <mc:Choice Requires="x14">
            <control shapeId="54353" r:id="rId5" name="Check Box 8273">
              <controlPr locked="0" defaultSize="0" autoFill="0" autoLine="0" autoPict="0">
                <anchor moveWithCells="1">
                  <from>
                    <xdr:col>26</xdr:col>
                    <xdr:colOff>666750</xdr:colOff>
                    <xdr:row>144</xdr:row>
                    <xdr:rowOff>28575</xdr:rowOff>
                  </from>
                  <to>
                    <xdr:col>26</xdr:col>
                    <xdr:colOff>800100</xdr:colOff>
                    <xdr:row>145</xdr:row>
                    <xdr:rowOff>142875</xdr:rowOff>
                  </to>
                </anchor>
              </controlPr>
            </control>
          </mc:Choice>
        </mc:AlternateContent>
        <mc:AlternateContent xmlns:mc="http://schemas.openxmlformats.org/markup-compatibility/2006">
          <mc:Choice Requires="x14">
            <control shapeId="54356" r:id="rId6" name="Check Box 8276">
              <controlPr locked="0" defaultSize="0" autoFill="0" autoLine="0" autoPict="0">
                <anchor moveWithCells="1">
                  <from>
                    <xdr:col>26</xdr:col>
                    <xdr:colOff>666750</xdr:colOff>
                    <xdr:row>198</xdr:row>
                    <xdr:rowOff>28575</xdr:rowOff>
                  </from>
                  <to>
                    <xdr:col>26</xdr:col>
                    <xdr:colOff>800100</xdr:colOff>
                    <xdr:row>200</xdr:row>
                    <xdr:rowOff>0</xdr:rowOff>
                  </to>
                </anchor>
              </controlPr>
            </control>
          </mc:Choice>
        </mc:AlternateContent>
        <mc:AlternateContent xmlns:mc="http://schemas.openxmlformats.org/markup-compatibility/2006">
          <mc:Choice Requires="x14">
            <control shapeId="54359" r:id="rId7" name="Check Box 8279">
              <controlPr locked="0" defaultSize="0" autoFill="0" autoLine="0" autoPict="0">
                <anchor moveWithCells="1">
                  <from>
                    <xdr:col>26</xdr:col>
                    <xdr:colOff>600075</xdr:colOff>
                    <xdr:row>251</xdr:row>
                    <xdr:rowOff>257175</xdr:rowOff>
                  </from>
                  <to>
                    <xdr:col>26</xdr:col>
                    <xdr:colOff>838200</xdr:colOff>
                    <xdr:row>253</xdr:row>
                    <xdr:rowOff>9525</xdr:rowOff>
                  </to>
                </anchor>
              </controlPr>
            </control>
          </mc:Choice>
        </mc:AlternateContent>
        <mc:AlternateContent xmlns:mc="http://schemas.openxmlformats.org/markup-compatibility/2006">
          <mc:Choice Requires="x14">
            <control shapeId="54362" r:id="rId8" name="Check Box 8282">
              <controlPr locked="0" defaultSize="0" autoFill="0" autoLine="0" autoPict="0">
                <anchor moveWithCells="1">
                  <from>
                    <xdr:col>26</xdr:col>
                    <xdr:colOff>666750</xdr:colOff>
                    <xdr:row>306</xdr:row>
                    <xdr:rowOff>28575</xdr:rowOff>
                  </from>
                  <to>
                    <xdr:col>26</xdr:col>
                    <xdr:colOff>800100</xdr:colOff>
                    <xdr:row>308</xdr:row>
                    <xdr:rowOff>0</xdr:rowOff>
                  </to>
                </anchor>
              </controlPr>
            </control>
          </mc:Choice>
        </mc:AlternateContent>
        <mc:AlternateContent xmlns:mc="http://schemas.openxmlformats.org/markup-compatibility/2006">
          <mc:Choice Requires="x14">
            <control shapeId="54385" r:id="rId9" name="Check Box 8305">
              <controlPr locked="0" defaultSize="0" autoFill="0" autoLine="0" autoPict="0">
                <anchor moveWithCells="1">
                  <from>
                    <xdr:col>26</xdr:col>
                    <xdr:colOff>666750</xdr:colOff>
                    <xdr:row>90</xdr:row>
                    <xdr:rowOff>28575</xdr:rowOff>
                  </from>
                  <to>
                    <xdr:col>26</xdr:col>
                    <xdr:colOff>800100</xdr:colOff>
                    <xdr:row>91</xdr:row>
                    <xdr:rowOff>123825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58DC-CD97-4549-9E9F-B35B8CD0E758}">
  <sheetPr codeName="List3"/>
  <dimension ref="A1:V1071"/>
  <sheetViews>
    <sheetView topLeftCell="E1" workbookViewId="0">
      <selection activeCell="M52" sqref="M52:P112"/>
    </sheetView>
  </sheetViews>
  <sheetFormatPr defaultRowHeight="15"/>
  <cols>
    <col min="1" max="1" width="19.5703125" customWidth="1"/>
    <col min="2" max="2" width="23.42578125" customWidth="1"/>
    <col min="3" max="3" width="17.5703125" customWidth="1"/>
    <col min="4" max="4" width="25.5703125"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3" width="31.42578125" style="12" customWidth="1"/>
    <col min="14" max="16" width="27.42578125" customWidth="1"/>
  </cols>
  <sheetData>
    <row r="1" spans="1:22">
      <c r="B1" t="s">
        <v>77</v>
      </c>
      <c r="C1" t="s">
        <v>78</v>
      </c>
      <c r="D1">
        <v>1</v>
      </c>
      <c r="E1" t="s">
        <v>78</v>
      </c>
      <c r="G1" t="s">
        <v>79</v>
      </c>
      <c r="I1" t="s">
        <v>80</v>
      </c>
      <c r="K1" t="s">
        <v>81</v>
      </c>
      <c r="M1" s="12" t="s">
        <v>78</v>
      </c>
      <c r="N1" t="s">
        <v>79</v>
      </c>
      <c r="O1" t="s">
        <v>80</v>
      </c>
      <c r="P1" t="s">
        <v>81</v>
      </c>
      <c r="Q1" t="s">
        <v>21</v>
      </c>
      <c r="R1" t="s">
        <v>19</v>
      </c>
    </row>
    <row r="2" spans="1:22">
      <c r="C2">
        <v>2</v>
      </c>
      <c r="D2">
        <v>3</v>
      </c>
      <c r="E2">
        <v>4</v>
      </c>
      <c r="F2">
        <v>5</v>
      </c>
      <c r="G2">
        <v>6</v>
      </c>
      <c r="H2">
        <v>7</v>
      </c>
      <c r="I2">
        <v>8</v>
      </c>
      <c r="J2">
        <v>9</v>
      </c>
      <c r="K2">
        <v>10</v>
      </c>
      <c r="L2">
        <v>11</v>
      </c>
    </row>
    <row r="3" spans="1:22">
      <c r="B3" s="2"/>
      <c r="C3" s="2"/>
      <c r="D3" s="2"/>
      <c r="E3" s="2"/>
      <c r="F3" s="2"/>
      <c r="G3" s="3" t="s">
        <v>32</v>
      </c>
      <c r="H3" s="4">
        <v>25</v>
      </c>
      <c r="I3" s="3" t="s">
        <v>32</v>
      </c>
      <c r="J3" s="4">
        <v>6.5</v>
      </c>
      <c r="K3" s="3" t="s">
        <v>1008</v>
      </c>
      <c r="L3" s="4">
        <v>9.1999999999999993</v>
      </c>
    </row>
    <row r="4" spans="1:22">
      <c r="B4" s="5" t="s">
        <v>33</v>
      </c>
      <c r="C4" s="1017" t="s">
        <v>34</v>
      </c>
      <c r="D4" s="1018"/>
      <c r="E4" s="1017" t="s">
        <v>34</v>
      </c>
      <c r="F4" s="1018"/>
      <c r="G4" s="1017" t="s">
        <v>35</v>
      </c>
      <c r="H4" s="1018"/>
      <c r="I4" s="1017" t="s">
        <v>36</v>
      </c>
      <c r="J4" s="1018"/>
      <c r="K4" s="1017" t="s">
        <v>37</v>
      </c>
      <c r="L4" s="1018"/>
    </row>
    <row r="5" spans="1:22">
      <c r="B5" s="121" t="s">
        <v>38</v>
      </c>
      <c r="C5" s="122" t="s">
        <v>39</v>
      </c>
      <c r="D5" s="123" t="s">
        <v>40</v>
      </c>
      <c r="E5" s="122" t="s">
        <v>39</v>
      </c>
      <c r="F5" s="123" t="s">
        <v>40</v>
      </c>
      <c r="G5" s="122" t="s">
        <v>39</v>
      </c>
      <c r="H5" s="123" t="s">
        <v>40</v>
      </c>
      <c r="I5" s="122" t="s">
        <v>39</v>
      </c>
      <c r="J5" s="123" t="s">
        <v>40</v>
      </c>
      <c r="K5" s="122" t="s">
        <v>39</v>
      </c>
      <c r="L5" s="123" t="s">
        <v>40</v>
      </c>
      <c r="M5" s="12" t="s">
        <v>78</v>
      </c>
      <c r="N5" t="s">
        <v>79</v>
      </c>
      <c r="O5" t="s">
        <v>80</v>
      </c>
      <c r="P5" t="s">
        <v>81</v>
      </c>
      <c r="Q5" t="s">
        <v>21</v>
      </c>
      <c r="R5" t="s">
        <v>19</v>
      </c>
    </row>
    <row r="6" spans="1:22">
      <c r="A6" s="2" t="s">
        <v>984</v>
      </c>
      <c r="B6" s="254" t="str">
        <f t="shared" ref="B6:B44" si="0">IF($D$1=1,M6,IF($D$1=2,N6,IF($D$1=3,O6,IF($D$1=4,P6,0))))</f>
        <v>BRW (elox.)</v>
      </c>
      <c r="C6" s="23">
        <f>IF($D$1=1,E6,IF($D$1=2,G6,IF($D$1=3,I6,IF($D$1=4,K6,0))))</f>
        <v>212.18</v>
      </c>
      <c r="D6" s="23">
        <f>IF($D$1=1,F6,IF($D$1=2,H6,IF($D$1=3,J6,IF($D$1=4,L6,0))))</f>
        <v>92.7</v>
      </c>
      <c r="E6" s="23">
        <v>212.18</v>
      </c>
      <c r="F6" s="23">
        <v>92.7</v>
      </c>
      <c r="G6" s="125">
        <v>6.2856381923076921</v>
      </c>
      <c r="H6" s="125">
        <v>3.4277639423076924</v>
      </c>
      <c r="I6" s="125">
        <v>31.692307692307693</v>
      </c>
      <c r="J6" s="125">
        <v>13.846153846153847</v>
      </c>
      <c r="K6" s="126">
        <v>2239.130434782609</v>
      </c>
      <c r="L6" s="126">
        <v>978.26086956521738</v>
      </c>
      <c r="M6" s="111" t="s">
        <v>984</v>
      </c>
      <c r="N6" s="111" t="s">
        <v>984</v>
      </c>
      <c r="O6" s="111" t="s">
        <v>984</v>
      </c>
      <c r="P6" s="111" t="s">
        <v>984</v>
      </c>
      <c r="Q6" s="128">
        <v>1</v>
      </c>
      <c r="R6" s="128">
        <v>1</v>
      </c>
      <c r="V6" t="e">
        <f>VLOOKUP(B:B,PROFILY_ALL,1,FALSE)</f>
        <v>#REF!</v>
      </c>
    </row>
    <row r="7" spans="1:22">
      <c r="A7" s="2" t="s">
        <v>1393</v>
      </c>
      <c r="B7" s="254" t="str">
        <f t="shared" si="0"/>
        <v>BRW antracit</v>
      </c>
      <c r="C7" s="23">
        <f t="shared" ref="C7:C44" si="1">IF($D$1=1,E7,IF($D$1=2,G7,IF($D$1=3,I7,IF($D$1=4,K7,0))))</f>
        <v>424.36</v>
      </c>
      <c r="D7" s="23">
        <f t="shared" ref="D7:D44" si="2">IF($D$1=1,F7,IF($D$1=2,H7,IF($D$1=3,J7,IF($D$1=4,L7,0))))</f>
        <v>112.27</v>
      </c>
      <c r="E7" s="23">
        <v>424.36</v>
      </c>
      <c r="F7" s="23">
        <v>112.27</v>
      </c>
      <c r="G7" s="125">
        <v>11.554309250000001</v>
      </c>
      <c r="H7" s="125">
        <v>3.4277639423076924</v>
      </c>
      <c r="I7" s="125">
        <v>63.384615384615387</v>
      </c>
      <c r="J7" s="125">
        <v>16.76923076923077</v>
      </c>
      <c r="K7" s="126">
        <v>4478.2608695652179</v>
      </c>
      <c r="L7" s="126">
        <v>1184.7826086956522</v>
      </c>
      <c r="M7" s="111" t="s">
        <v>1393</v>
      </c>
      <c r="N7" s="111" t="s">
        <v>1393</v>
      </c>
      <c r="O7" s="124" t="s">
        <v>1402</v>
      </c>
      <c r="P7" s="111" t="s">
        <v>1402</v>
      </c>
      <c r="Q7" s="128">
        <v>1</v>
      </c>
      <c r="R7" s="128">
        <v>1</v>
      </c>
      <c r="V7" t="e">
        <f>VLOOKUP(B:B,PROFILY_ALL,1,FALSE)</f>
        <v>#REF!</v>
      </c>
    </row>
    <row r="8" spans="1:22">
      <c r="A8" s="2" t="s">
        <v>1617</v>
      </c>
      <c r="B8" s="254" t="str">
        <f>IF($D$1=1,M8,IF($D$1=2,N8,IF($D$1=3,O8,IF($D$1=4,P8,0))))</f>
        <v>BRW bílá mat</v>
      </c>
      <c r="C8" s="23">
        <f t="shared" si="1"/>
        <v>424.36</v>
      </c>
      <c r="D8" s="23">
        <f t="shared" si="2"/>
        <v>112.27</v>
      </c>
      <c r="E8" s="23">
        <v>424.36</v>
      </c>
      <c r="F8" s="23">
        <v>112.27</v>
      </c>
      <c r="G8" s="125">
        <v>11.554309250000001</v>
      </c>
      <c r="H8" s="125">
        <v>3.4277639423076924</v>
      </c>
      <c r="I8" s="125">
        <v>63.384615384615387</v>
      </c>
      <c r="J8" s="125">
        <v>16.76923076923077</v>
      </c>
      <c r="K8" s="126">
        <v>4478.2608695652179</v>
      </c>
      <c r="L8" s="126">
        <v>1184.7826086956522</v>
      </c>
      <c r="M8" s="111" t="s">
        <v>1615</v>
      </c>
      <c r="N8" s="111" t="s">
        <v>1616</v>
      </c>
      <c r="O8" s="124" t="s">
        <v>1617</v>
      </c>
      <c r="P8" s="111" t="s">
        <v>1618</v>
      </c>
      <c r="Q8" s="128">
        <v>1</v>
      </c>
      <c r="R8" s="128">
        <v>1</v>
      </c>
      <c r="V8" t="e">
        <f>VLOOKUP(B:B,PROFILY_ALL,1,FALSE)</f>
        <v>#REF!</v>
      </c>
    </row>
    <row r="9" spans="1:22">
      <c r="A9" s="2" t="s">
        <v>1621</v>
      </c>
      <c r="B9" s="254" t="str">
        <f>IF($D$1=1,M9,IF($D$1=2,N9,IF($D$1=3,O9,IF($D$1=4,P9,0))))</f>
        <v>BRW bílá lesk</v>
      </c>
      <c r="C9" s="23">
        <f t="shared" si="1"/>
        <v>424.36</v>
      </c>
      <c r="D9" s="23">
        <f t="shared" si="2"/>
        <v>112.27</v>
      </c>
      <c r="E9" s="23">
        <v>424.36</v>
      </c>
      <c r="F9" s="23">
        <v>112.27</v>
      </c>
      <c r="G9" s="125">
        <v>11.55</v>
      </c>
      <c r="H9" s="125">
        <v>3.43</v>
      </c>
      <c r="I9" s="125">
        <v>63.38</v>
      </c>
      <c r="J9" s="125">
        <v>16.77</v>
      </c>
      <c r="K9" s="126">
        <v>4478</v>
      </c>
      <c r="L9" s="126">
        <v>1185</v>
      </c>
      <c r="M9" s="111" t="s">
        <v>1619</v>
      </c>
      <c r="N9" s="111" t="s">
        <v>1620</v>
      </c>
      <c r="O9" s="124" t="s">
        <v>1621</v>
      </c>
      <c r="P9" s="111" t="s">
        <v>1622</v>
      </c>
      <c r="Q9" s="128">
        <v>1</v>
      </c>
      <c r="R9" s="128">
        <v>1</v>
      </c>
    </row>
    <row r="10" spans="1:22">
      <c r="A10" s="2" t="s">
        <v>1394</v>
      </c>
      <c r="B10" s="254" t="str">
        <f>IF($D$1=1,M10,IF($D$1=2,N10,IF($D$1=3,O10,IF($D$1=4,P10,0))))</f>
        <v>BRW hnědá</v>
      </c>
      <c r="C10" s="23">
        <f t="shared" si="1"/>
        <v>340.93</v>
      </c>
      <c r="D10" s="23">
        <f t="shared" si="2"/>
        <v>112.27</v>
      </c>
      <c r="E10" s="23">
        <v>340.93</v>
      </c>
      <c r="F10" s="23">
        <v>112.27</v>
      </c>
      <c r="G10" s="125">
        <v>7.9469994153846164</v>
      </c>
      <c r="H10" s="125">
        <v>3.4277639423076924</v>
      </c>
      <c r="I10" s="125">
        <v>50.92307692307692</v>
      </c>
      <c r="J10" s="125">
        <v>16.76923076923077</v>
      </c>
      <c r="K10" s="126">
        <v>3597.826086956522</v>
      </c>
      <c r="L10" s="126">
        <v>1184.7826086956522</v>
      </c>
      <c r="M10" s="111" t="s">
        <v>1403</v>
      </c>
      <c r="N10" s="111" t="s">
        <v>1403</v>
      </c>
      <c r="O10" s="124" t="s">
        <v>1394</v>
      </c>
      <c r="P10" s="111" t="s">
        <v>1404</v>
      </c>
      <c r="Q10" s="128">
        <v>1</v>
      </c>
      <c r="R10" s="128">
        <v>1</v>
      </c>
      <c r="V10" t="e">
        <f>VLOOKUP(B:B,PROFILY_ALL,1,FALSE)</f>
        <v>#REF!</v>
      </c>
    </row>
    <row r="11" spans="1:22">
      <c r="A11" s="2" t="s">
        <v>987</v>
      </c>
      <c r="B11" s="253" t="str">
        <f t="shared" si="0"/>
        <v>BRW broušené</v>
      </c>
      <c r="C11" s="23">
        <f t="shared" si="1"/>
        <v>391.40000000000003</v>
      </c>
      <c r="D11" s="23">
        <f t="shared" si="2"/>
        <v>112.27</v>
      </c>
      <c r="E11" s="23">
        <v>391.40000000000003</v>
      </c>
      <c r="F11" s="23">
        <v>112.27</v>
      </c>
      <c r="G11" s="125">
        <v>11.604608653846155</v>
      </c>
      <c r="H11" s="125">
        <v>3.4277639423076924</v>
      </c>
      <c r="I11" s="125">
        <v>58.46153846153846</v>
      </c>
      <c r="J11" s="125">
        <v>16.76923076923077</v>
      </c>
      <c r="K11" s="126">
        <v>4130.434782608696</v>
      </c>
      <c r="L11" s="126">
        <v>1184.7826086956522</v>
      </c>
      <c r="M11" s="112" t="s">
        <v>985</v>
      </c>
      <c r="N11" s="112" t="s">
        <v>986</v>
      </c>
      <c r="O11" s="112" t="s">
        <v>987</v>
      </c>
      <c r="P11" s="112" t="s">
        <v>988</v>
      </c>
      <c r="Q11" s="128">
        <v>1</v>
      </c>
      <c r="R11" s="128">
        <v>1</v>
      </c>
      <c r="V11" t="e">
        <f>VLOOKUP(B:B,PROFILY_ALL,1,FALSE)</f>
        <v>#REF!</v>
      </c>
    </row>
    <row r="12" spans="1:22">
      <c r="A12" s="2" t="s">
        <v>1633</v>
      </c>
      <c r="B12" s="253" t="str">
        <f>IF($D$1=1,M12,IF($D$1=2,N12,IF($D$1=3,O12,IF($D$1=4,P12,0))))</f>
        <v>BRW černá mat</v>
      </c>
      <c r="C12" s="23">
        <f t="shared" si="1"/>
        <v>340.93</v>
      </c>
      <c r="D12" s="23">
        <f t="shared" si="2"/>
        <v>112.27</v>
      </c>
      <c r="E12" s="23">
        <v>340.93</v>
      </c>
      <c r="F12" s="23">
        <v>112.27</v>
      </c>
      <c r="G12" s="125">
        <v>7.9469994153846164</v>
      </c>
      <c r="H12" s="125">
        <v>3.4277639423076924</v>
      </c>
      <c r="I12" s="125">
        <v>50.92307692307692</v>
      </c>
      <c r="J12" s="125">
        <v>16.76923076923077</v>
      </c>
      <c r="K12" s="126">
        <v>3597.826086956522</v>
      </c>
      <c r="L12" s="126">
        <v>1184.7826086956522</v>
      </c>
      <c r="M12" s="112" t="s">
        <v>1607</v>
      </c>
      <c r="N12" s="112" t="s">
        <v>1608</v>
      </c>
      <c r="O12" s="112" t="s">
        <v>1609</v>
      </c>
      <c r="P12" s="112" t="s">
        <v>1610</v>
      </c>
      <c r="Q12" s="128">
        <v>1</v>
      </c>
      <c r="R12" s="128">
        <v>1</v>
      </c>
      <c r="V12" t="e">
        <f>VLOOKUP(B:B,PROFILY_ALL,1,FALSE)</f>
        <v>#REF!</v>
      </c>
    </row>
    <row r="13" spans="1:22">
      <c r="A13" s="2" t="s">
        <v>1634</v>
      </c>
      <c r="B13" s="253" t="str">
        <f>IF($D$1=1,M13,IF($D$1=2,N13,IF($D$1=3,O13,IF($D$1=4,P13,0))))</f>
        <v>BRW černá lesk</v>
      </c>
      <c r="C13" s="23">
        <f t="shared" si="1"/>
        <v>496.46000000000004</v>
      </c>
      <c r="D13" s="23">
        <f t="shared" si="2"/>
        <v>112.27</v>
      </c>
      <c r="E13" s="23">
        <v>496.46000000000004</v>
      </c>
      <c r="F13" s="23">
        <v>112.27</v>
      </c>
      <c r="G13" s="125">
        <v>11.58</v>
      </c>
      <c r="H13" s="125">
        <v>3.43</v>
      </c>
      <c r="I13" s="125">
        <v>74.150000000000006</v>
      </c>
      <c r="J13" s="125">
        <v>16.77</v>
      </c>
      <c r="K13" s="126">
        <v>5239</v>
      </c>
      <c r="L13" s="126">
        <v>1185</v>
      </c>
      <c r="M13" s="112" t="s">
        <v>1611</v>
      </c>
      <c r="N13" s="112" t="s">
        <v>1612</v>
      </c>
      <c r="O13" s="112" t="s">
        <v>1613</v>
      </c>
      <c r="P13" s="112" t="s">
        <v>1614</v>
      </c>
      <c r="Q13" s="128">
        <v>1</v>
      </c>
      <c r="R13" s="128">
        <v>1</v>
      </c>
    </row>
    <row r="14" spans="1:22">
      <c r="A14" s="2" t="s">
        <v>991</v>
      </c>
      <c r="B14" s="253" t="str">
        <f>IF($D$1=1,M14,IF($D$1=2,N14,IF($D$1=3,O14,IF($D$1=4,P14,0))))</f>
        <v>BRW černá broušená</v>
      </c>
      <c r="C14" s="23">
        <f t="shared" si="1"/>
        <v>355.35</v>
      </c>
      <c r="D14" s="23">
        <f t="shared" si="2"/>
        <v>112.27</v>
      </c>
      <c r="E14" s="23">
        <v>355.35</v>
      </c>
      <c r="F14" s="23">
        <v>112.27</v>
      </c>
      <c r="G14" s="125">
        <v>7.9741662000000018</v>
      </c>
      <c r="H14" s="125">
        <v>3.4277639423076924</v>
      </c>
      <c r="I14" s="125">
        <v>53.07692307692308</v>
      </c>
      <c r="J14" s="125">
        <v>16.76923076923077</v>
      </c>
      <c r="K14" s="126">
        <v>3750</v>
      </c>
      <c r="L14" s="126">
        <v>1184.7826086956522</v>
      </c>
      <c r="M14" s="112" t="s">
        <v>989</v>
      </c>
      <c r="N14" s="112" t="s">
        <v>990</v>
      </c>
      <c r="O14" s="112" t="s">
        <v>991</v>
      </c>
      <c r="P14" s="112" t="s">
        <v>992</v>
      </c>
      <c r="Q14" s="128">
        <v>1</v>
      </c>
      <c r="R14" s="128">
        <v>1</v>
      </c>
      <c r="V14" t="e">
        <f t="shared" ref="V14:V22" si="3">VLOOKUP(B:B,PROFILY_ALL,1,FALSE)</f>
        <v>#REF!</v>
      </c>
    </row>
    <row r="15" spans="1:22">
      <c r="A15" s="2" t="s">
        <v>1395</v>
      </c>
      <c r="B15" s="253" t="str">
        <f>IF($D$1=1,M15,IF($D$1=2,N15,IF($D$1=3,O15,IF($D$1=4,P15,0))))</f>
        <v>BRW světlá nerez (ACIER GRATA)</v>
      </c>
      <c r="C15" s="23">
        <f t="shared" si="1"/>
        <v>352.26</v>
      </c>
      <c r="D15" s="23">
        <f t="shared" si="2"/>
        <v>112.27</v>
      </c>
      <c r="E15" s="23">
        <v>352.26</v>
      </c>
      <c r="F15" s="23">
        <v>112.27</v>
      </c>
      <c r="G15" s="125">
        <v>8.147737442307692</v>
      </c>
      <c r="H15" s="125">
        <v>3.4277639423076924</v>
      </c>
      <c r="I15" s="125">
        <v>52.615384615384613</v>
      </c>
      <c r="J15" s="125">
        <v>16.76923076923077</v>
      </c>
      <c r="K15" s="126">
        <v>3717.3913043478265</v>
      </c>
      <c r="L15" s="126">
        <v>1184.7826086956522</v>
      </c>
      <c r="M15" s="112" t="s">
        <v>1405</v>
      </c>
      <c r="N15" s="112" t="s">
        <v>1406</v>
      </c>
      <c r="O15" s="112" t="s">
        <v>1407</v>
      </c>
      <c r="P15" s="112" t="s">
        <v>1408</v>
      </c>
      <c r="Q15" s="128">
        <v>1</v>
      </c>
      <c r="R15" s="128">
        <v>1</v>
      </c>
      <c r="V15" t="e">
        <f t="shared" si="3"/>
        <v>#REF!</v>
      </c>
    </row>
    <row r="16" spans="1:22">
      <c r="A16" s="2" t="s">
        <v>409</v>
      </c>
      <c r="B16" s="253" t="str">
        <f>IF($D$1=1,M16,IF($D$1=2,N16,IF($D$1=3,O16,IF($D$1=4,P16,0))))</f>
        <v>BRW champagne</v>
      </c>
      <c r="C16" s="23">
        <f t="shared" si="1"/>
        <v>340.93</v>
      </c>
      <c r="D16" s="23">
        <f t="shared" si="2"/>
        <v>112.27</v>
      </c>
      <c r="E16" s="23">
        <v>340.93</v>
      </c>
      <c r="F16" s="23">
        <v>112.27</v>
      </c>
      <c r="G16" s="125">
        <v>7.9472036769230776</v>
      </c>
      <c r="H16" s="125">
        <v>3.4277639423076924</v>
      </c>
      <c r="I16" s="125">
        <v>50.92307692307692</v>
      </c>
      <c r="J16" s="125">
        <v>16.76923076923077</v>
      </c>
      <c r="K16" s="126">
        <v>3597.826086956522</v>
      </c>
      <c r="L16" s="126">
        <v>1184.7826086956522</v>
      </c>
      <c r="M16" s="112" t="s">
        <v>42</v>
      </c>
      <c r="N16" s="112" t="s">
        <v>42</v>
      </c>
      <c r="O16" s="112" t="s">
        <v>409</v>
      </c>
      <c r="P16" s="112" t="s">
        <v>617</v>
      </c>
      <c r="Q16" s="128">
        <v>1</v>
      </c>
      <c r="R16" s="128">
        <v>1</v>
      </c>
      <c r="V16" t="e">
        <f t="shared" si="3"/>
        <v>#REF!</v>
      </c>
    </row>
    <row r="17" spans="1:22">
      <c r="A17" s="2" t="s">
        <v>1396</v>
      </c>
      <c r="B17" s="253" t="str">
        <f t="shared" si="0"/>
        <v>BRW tmavá nerez br. (Inox lija)</v>
      </c>
      <c r="C17" s="23">
        <f t="shared" si="1"/>
        <v>352.26</v>
      </c>
      <c r="D17" s="23">
        <f t="shared" si="2"/>
        <v>112.27</v>
      </c>
      <c r="E17" s="23">
        <v>352.26</v>
      </c>
      <c r="F17" s="23">
        <v>112.27</v>
      </c>
      <c r="G17" s="125">
        <v>8.147737442307692</v>
      </c>
      <c r="H17" s="125">
        <v>3.4277639423076924</v>
      </c>
      <c r="I17" s="125">
        <v>52.615384615384613</v>
      </c>
      <c r="J17" s="125">
        <v>16.76923076923077</v>
      </c>
      <c r="K17" s="126">
        <v>3717.3913043478265</v>
      </c>
      <c r="L17" s="126">
        <v>1184.7826086956522</v>
      </c>
      <c r="M17" s="112" t="s">
        <v>1409</v>
      </c>
      <c r="N17" s="112" t="s">
        <v>1410</v>
      </c>
      <c r="O17" s="127" t="s">
        <v>410</v>
      </c>
      <c r="P17" s="112" t="s">
        <v>618</v>
      </c>
      <c r="Q17" s="128">
        <v>1</v>
      </c>
      <c r="R17" s="128">
        <v>1</v>
      </c>
      <c r="V17" t="e">
        <f t="shared" si="3"/>
        <v>#REF!</v>
      </c>
    </row>
    <row r="18" spans="1:22">
      <c r="A18" s="2" t="s">
        <v>993</v>
      </c>
      <c r="B18" s="253" t="str">
        <f t="shared" si="0"/>
        <v>Corleone (elox.)</v>
      </c>
      <c r="C18" s="23">
        <f t="shared" si="1"/>
        <v>391.40000000000003</v>
      </c>
      <c r="D18" s="23">
        <f t="shared" si="2"/>
        <v>161.71</v>
      </c>
      <c r="E18" s="23">
        <v>391.40000000000003</v>
      </c>
      <c r="F18" s="23">
        <v>161.71</v>
      </c>
      <c r="G18" s="125">
        <v>9.7074274846153852</v>
      </c>
      <c r="H18" s="125">
        <v>5.0516431730769238</v>
      </c>
      <c r="I18" s="125">
        <v>58.46153846153846</v>
      </c>
      <c r="J18" s="125">
        <v>24.153846153846153</v>
      </c>
      <c r="K18" s="126">
        <v>4130.434782608696</v>
      </c>
      <c r="L18" s="126">
        <v>1706.5217391304348</v>
      </c>
      <c r="M18" s="112" t="s">
        <v>993</v>
      </c>
      <c r="N18" s="112" t="s">
        <v>993</v>
      </c>
      <c r="O18" s="127" t="s">
        <v>993</v>
      </c>
      <c r="P18" s="112" t="s">
        <v>993</v>
      </c>
      <c r="Q18" s="128">
        <v>2</v>
      </c>
      <c r="R18" s="128">
        <v>1</v>
      </c>
      <c r="V18" t="e">
        <f t="shared" si="3"/>
        <v>#REF!</v>
      </c>
    </row>
    <row r="19" spans="1:22">
      <c r="A19" s="2" t="s">
        <v>704</v>
      </c>
      <c r="B19" s="253" t="str">
        <f t="shared" si="0"/>
        <v>Corleone černé mat</v>
      </c>
      <c r="C19" s="23">
        <f t="shared" si="1"/>
        <v>504.7</v>
      </c>
      <c r="D19" s="23">
        <f t="shared" si="2"/>
        <v>161.71</v>
      </c>
      <c r="E19" s="23">
        <v>504.7</v>
      </c>
      <c r="F19" s="23">
        <v>161.71</v>
      </c>
      <c r="G19" s="125">
        <v>13.220011030769232</v>
      </c>
      <c r="H19" s="125">
        <v>5.0516431730769238</v>
      </c>
      <c r="I19" s="125">
        <v>75.384615384615387</v>
      </c>
      <c r="J19" s="125">
        <v>24.153846153846153</v>
      </c>
      <c r="K19" s="126">
        <v>5326.0869565217399</v>
      </c>
      <c r="L19" s="126">
        <v>1706.5217391304348</v>
      </c>
      <c r="M19" s="112" t="s">
        <v>1641</v>
      </c>
      <c r="N19" s="112" t="s">
        <v>1642</v>
      </c>
      <c r="O19" s="127" t="s">
        <v>1643</v>
      </c>
      <c r="P19" s="112" t="s">
        <v>1644</v>
      </c>
      <c r="Q19" s="128">
        <v>2</v>
      </c>
      <c r="R19" s="128">
        <v>1</v>
      </c>
      <c r="V19" t="e">
        <f t="shared" si="3"/>
        <v>#REF!</v>
      </c>
    </row>
    <row r="20" spans="1:22">
      <c r="A20" s="2" t="s">
        <v>995</v>
      </c>
      <c r="B20" s="253" t="str">
        <f t="shared" si="0"/>
        <v>Corleone champagne</v>
      </c>
      <c r="C20" s="23">
        <f t="shared" si="1"/>
        <v>504.7</v>
      </c>
      <c r="D20" s="23">
        <f t="shared" si="2"/>
        <v>161.71</v>
      </c>
      <c r="E20" s="23">
        <v>504.7</v>
      </c>
      <c r="F20" s="23">
        <v>161.71</v>
      </c>
      <c r="G20" s="125">
        <v>13.044141846153849</v>
      </c>
      <c r="H20" s="125">
        <v>5.0516431730769238</v>
      </c>
      <c r="I20" s="125">
        <v>75.384615384615387</v>
      </c>
      <c r="J20" s="125">
        <v>24.153846153846153</v>
      </c>
      <c r="K20" s="126">
        <v>5326.0869565217399</v>
      </c>
      <c r="L20" s="126">
        <v>1706.5217391304348</v>
      </c>
      <c r="M20" s="112" t="s">
        <v>994</v>
      </c>
      <c r="N20" s="112" t="s">
        <v>994</v>
      </c>
      <c r="O20" s="127" t="s">
        <v>995</v>
      </c>
      <c r="P20" s="112" t="s">
        <v>996</v>
      </c>
      <c r="Q20" s="128">
        <v>2</v>
      </c>
      <c r="R20" s="128">
        <v>1</v>
      </c>
      <c r="V20" t="e">
        <f t="shared" si="3"/>
        <v>#REF!</v>
      </c>
    </row>
    <row r="21" spans="1:22">
      <c r="A21" s="2" t="s">
        <v>997</v>
      </c>
      <c r="B21" s="253" t="str">
        <f t="shared" si="0"/>
        <v>Imola (elox.)</v>
      </c>
      <c r="C21" s="23">
        <f t="shared" si="1"/>
        <v>385.22</v>
      </c>
      <c r="D21" s="23">
        <f t="shared" si="2"/>
        <v>156.56</v>
      </c>
      <c r="E21" s="23">
        <v>385.22</v>
      </c>
      <c r="F21" s="23">
        <v>156.56</v>
      </c>
      <c r="G21" s="125">
        <v>9.5899260346153845</v>
      </c>
      <c r="H21" s="125">
        <v>5.0516431730769238</v>
      </c>
      <c r="I21" s="125">
        <v>57.53846153846154</v>
      </c>
      <c r="J21" s="125">
        <v>23.384615384615383</v>
      </c>
      <c r="K21" s="126">
        <v>4065.2173913043484</v>
      </c>
      <c r="L21" s="126">
        <v>1652.1739130434785</v>
      </c>
      <c r="M21" s="112" t="s">
        <v>997</v>
      </c>
      <c r="N21" s="112" t="s">
        <v>997</v>
      </c>
      <c r="O21" s="127" t="s">
        <v>997</v>
      </c>
      <c r="P21" s="112" t="s">
        <v>997</v>
      </c>
      <c r="Q21" s="128">
        <v>2</v>
      </c>
      <c r="R21" s="128">
        <v>2</v>
      </c>
      <c r="V21" t="e">
        <f t="shared" si="3"/>
        <v>#REF!</v>
      </c>
    </row>
    <row r="22" spans="1:22">
      <c r="A22" s="2" t="s">
        <v>1589</v>
      </c>
      <c r="B22" s="253" t="str">
        <f t="shared" si="0"/>
        <v>Imola černá mat</v>
      </c>
      <c r="C22" s="23">
        <f t="shared" si="1"/>
        <v>504.7</v>
      </c>
      <c r="D22" s="23">
        <f t="shared" si="2"/>
        <v>161.71</v>
      </c>
      <c r="E22" s="23">
        <v>504.7</v>
      </c>
      <c r="F22" s="23">
        <v>161.71</v>
      </c>
      <c r="G22" s="125">
        <v>12.9</v>
      </c>
      <c r="H22" s="125">
        <v>5.0516431730769238</v>
      </c>
      <c r="I22" s="125">
        <v>75.384615384615387</v>
      </c>
      <c r="J22" s="125">
        <v>24.153846153846153</v>
      </c>
      <c r="K22" s="126">
        <v>5326.0869565217399</v>
      </c>
      <c r="L22" s="126">
        <v>1706.5217391304348</v>
      </c>
      <c r="M22" s="112" t="s">
        <v>1587</v>
      </c>
      <c r="N22" s="112" t="s">
        <v>1588</v>
      </c>
      <c r="O22" s="127" t="s">
        <v>1589</v>
      </c>
      <c r="P22" s="112" t="s">
        <v>1590</v>
      </c>
      <c r="Q22" s="128">
        <v>2</v>
      </c>
      <c r="R22" s="128">
        <v>2</v>
      </c>
      <c r="V22" t="e">
        <f t="shared" si="3"/>
        <v>#REF!</v>
      </c>
    </row>
    <row r="23" spans="1:22">
      <c r="A23" s="2" t="s">
        <v>1640</v>
      </c>
      <c r="B23" s="253" t="str">
        <f>IF($D$1=1,M23,IF($D$1=2,N23,IF($D$1=3,O23,IF($D$1=4,P23,0))))</f>
        <v>Imola bílá mat</v>
      </c>
      <c r="C23" s="23">
        <f t="shared" si="1"/>
        <v>780.74</v>
      </c>
      <c r="D23" s="23">
        <f t="shared" si="2"/>
        <v>161.71</v>
      </c>
      <c r="E23" s="23">
        <v>780.74</v>
      </c>
      <c r="F23" s="23">
        <v>161.71</v>
      </c>
      <c r="G23" s="125">
        <v>19.96</v>
      </c>
      <c r="H23" s="125">
        <v>5.05</v>
      </c>
      <c r="I23" s="125">
        <v>116.62</v>
      </c>
      <c r="J23" s="125">
        <v>24.15</v>
      </c>
      <c r="K23" s="126">
        <v>8239</v>
      </c>
      <c r="L23" s="126">
        <v>1707</v>
      </c>
      <c r="M23" s="111" t="s">
        <v>1636</v>
      </c>
      <c r="N23" s="111" t="s">
        <v>1637</v>
      </c>
      <c r="O23" s="124" t="s">
        <v>1638</v>
      </c>
      <c r="P23" s="111" t="s">
        <v>1639</v>
      </c>
      <c r="Q23" s="128">
        <v>2</v>
      </c>
      <c r="R23" s="128">
        <v>2</v>
      </c>
    </row>
    <row r="24" spans="1:22">
      <c r="A24" s="2" t="s">
        <v>998</v>
      </c>
      <c r="B24" s="253" t="str">
        <f t="shared" si="0"/>
        <v>Modena (elox.)</v>
      </c>
      <c r="C24" s="23">
        <f t="shared" si="1"/>
        <v>346.08</v>
      </c>
      <c r="D24" s="23">
        <f t="shared" si="2"/>
        <v>150.38</v>
      </c>
      <c r="E24" s="23">
        <v>346.08</v>
      </c>
      <c r="F24" s="23">
        <v>150.38</v>
      </c>
      <c r="G24" s="125">
        <v>9.3020704615384631</v>
      </c>
      <c r="H24" s="125">
        <v>5.0516431730769238</v>
      </c>
      <c r="I24" s="125">
        <v>51.692307692307693</v>
      </c>
      <c r="J24" s="125">
        <v>22.46153846153846</v>
      </c>
      <c r="K24" s="126">
        <v>3652.1739130434789</v>
      </c>
      <c r="L24" s="126">
        <v>1586.9565217391307</v>
      </c>
      <c r="M24" s="112" t="s">
        <v>998</v>
      </c>
      <c r="N24" s="112" t="s">
        <v>998</v>
      </c>
      <c r="O24" s="127" t="s">
        <v>998</v>
      </c>
      <c r="P24" s="112" t="s">
        <v>998</v>
      </c>
      <c r="Q24" s="128">
        <v>2</v>
      </c>
      <c r="R24" s="128">
        <v>1</v>
      </c>
      <c r="V24" t="e">
        <f>VLOOKUP(B:B,PROFILY_ALL,1,FALSE)</f>
        <v>#REF!</v>
      </c>
    </row>
    <row r="25" spans="1:22">
      <c r="A25" s="2" t="s">
        <v>1631</v>
      </c>
      <c r="B25" s="254" t="str">
        <f t="shared" si="0"/>
        <v>Modena černá mat</v>
      </c>
      <c r="C25" s="23">
        <f t="shared" si="1"/>
        <v>402.73</v>
      </c>
      <c r="D25" s="23">
        <f t="shared" si="2"/>
        <v>150.38</v>
      </c>
      <c r="E25" s="23">
        <v>402.73</v>
      </c>
      <c r="F25" s="23">
        <v>150.38</v>
      </c>
      <c r="G25" s="125">
        <v>11.755660061538462</v>
      </c>
      <c r="H25" s="125">
        <v>5.0516431730769238</v>
      </c>
      <c r="I25" s="125">
        <v>60.153846153846153</v>
      </c>
      <c r="J25" s="125">
        <v>22.46153846153846</v>
      </c>
      <c r="K25" s="126">
        <v>4250</v>
      </c>
      <c r="L25" s="126">
        <v>1586.9565217391307</v>
      </c>
      <c r="M25" s="112" t="s">
        <v>1599</v>
      </c>
      <c r="N25" s="112" t="s">
        <v>1600</v>
      </c>
      <c r="O25" s="112" t="s">
        <v>1601</v>
      </c>
      <c r="P25" s="112" t="s">
        <v>1602</v>
      </c>
      <c r="Q25" s="128">
        <v>2</v>
      </c>
      <c r="R25" s="128">
        <v>1</v>
      </c>
      <c r="V25" t="e">
        <f>VLOOKUP(B:B,PROFILY_ALL,1,FALSE)</f>
        <v>#REF!</v>
      </c>
    </row>
    <row r="26" spans="1:22">
      <c r="A26" s="2" t="s">
        <v>1632</v>
      </c>
      <c r="B26" s="254" t="str">
        <f t="shared" si="0"/>
        <v>Modena černá lesk</v>
      </c>
      <c r="C26" s="23">
        <f t="shared" si="1"/>
        <v>709.67000000000007</v>
      </c>
      <c r="D26" s="23">
        <f t="shared" si="2"/>
        <v>161.71</v>
      </c>
      <c r="E26" s="23">
        <v>709.67000000000007</v>
      </c>
      <c r="F26" s="23">
        <v>161.71</v>
      </c>
      <c r="G26" s="125">
        <v>20.72</v>
      </c>
      <c r="H26" s="125">
        <v>5.43</v>
      </c>
      <c r="I26" s="125">
        <v>106</v>
      </c>
      <c r="J26" s="125">
        <v>24.15</v>
      </c>
      <c r="K26" s="126">
        <v>7489.13</v>
      </c>
      <c r="L26" s="126">
        <v>1706.57</v>
      </c>
      <c r="M26" s="112" t="s">
        <v>1603</v>
      </c>
      <c r="N26" s="112" t="s">
        <v>1604</v>
      </c>
      <c r="O26" s="112" t="s">
        <v>1605</v>
      </c>
      <c r="P26" s="112" t="s">
        <v>1606</v>
      </c>
      <c r="Q26" s="128">
        <v>2</v>
      </c>
      <c r="R26" s="128">
        <v>1</v>
      </c>
    </row>
    <row r="27" spans="1:22">
      <c r="A27" s="2" t="s">
        <v>683</v>
      </c>
      <c r="B27" s="254" t="str">
        <f t="shared" si="0"/>
        <v>Modena černá broušená</v>
      </c>
      <c r="C27" s="23">
        <f t="shared" si="1"/>
        <v>504.7</v>
      </c>
      <c r="D27" s="23">
        <f t="shared" si="2"/>
        <v>150.38</v>
      </c>
      <c r="E27" s="23">
        <v>504.7</v>
      </c>
      <c r="F27" s="23">
        <v>150.38</v>
      </c>
      <c r="G27" s="125">
        <v>11.635247884615385</v>
      </c>
      <c r="H27" s="125">
        <v>5.0516431730769238</v>
      </c>
      <c r="I27" s="125">
        <v>75.384615384615387</v>
      </c>
      <c r="J27" s="125">
        <v>22.46153846153846</v>
      </c>
      <c r="K27" s="126">
        <v>5326.0869565217399</v>
      </c>
      <c r="L27" s="126">
        <v>1586.9565217391307</v>
      </c>
      <c r="M27" s="111" t="s">
        <v>681</v>
      </c>
      <c r="N27" s="111" t="s">
        <v>682</v>
      </c>
      <c r="O27" s="124" t="s">
        <v>683</v>
      </c>
      <c r="P27" s="111" t="s">
        <v>684</v>
      </c>
      <c r="Q27" s="128">
        <v>2</v>
      </c>
      <c r="R27" s="128">
        <v>1</v>
      </c>
      <c r="V27" t="e">
        <f>VLOOKUP(B:B,PROFILY_ALL,1,FALSE)</f>
        <v>#REF!</v>
      </c>
    </row>
    <row r="28" spans="1:22">
      <c r="A28" s="2" t="s">
        <v>1397</v>
      </c>
      <c r="B28" s="254" t="str">
        <f t="shared" si="0"/>
        <v>Modena tmavá nerez br. (inox lija)</v>
      </c>
      <c r="C28" s="23">
        <f t="shared" si="1"/>
        <v>508.82</v>
      </c>
      <c r="D28" s="23">
        <f t="shared" si="2"/>
        <v>150.38</v>
      </c>
      <c r="E28" s="23">
        <v>508.82</v>
      </c>
      <c r="F28" s="23">
        <v>150.38</v>
      </c>
      <c r="G28" s="125">
        <v>11.635247884615385</v>
      </c>
      <c r="H28" s="125">
        <v>5.0516431730769238</v>
      </c>
      <c r="I28" s="125">
        <v>76</v>
      </c>
      <c r="J28" s="125">
        <v>22.46153846153846</v>
      </c>
      <c r="K28" s="126">
        <v>5369.5652173913049</v>
      </c>
      <c r="L28" s="126">
        <v>1586.9565217391307</v>
      </c>
      <c r="M28" s="111" t="s">
        <v>1411</v>
      </c>
      <c r="N28" s="111" t="s">
        <v>1412</v>
      </c>
      <c r="O28" s="124" t="s">
        <v>679</v>
      </c>
      <c r="P28" s="111" t="s">
        <v>680</v>
      </c>
      <c r="Q28" s="128">
        <v>2</v>
      </c>
      <c r="R28" s="128">
        <v>1</v>
      </c>
      <c r="V28" t="e">
        <f>VLOOKUP(B:B,PROFILY_ALL,1,FALSE)</f>
        <v>#REF!</v>
      </c>
    </row>
    <row r="29" spans="1:22">
      <c r="A29" s="2" t="s">
        <v>999</v>
      </c>
      <c r="B29" s="253" t="str">
        <f t="shared" si="0"/>
        <v>Palio (elox.)</v>
      </c>
      <c r="C29" s="23">
        <f t="shared" si="1"/>
        <v>380.07</v>
      </c>
      <c r="D29" s="23">
        <f t="shared" si="2"/>
        <v>145.22999999999999</v>
      </c>
      <c r="E29" s="23">
        <v>380.07</v>
      </c>
      <c r="F29" s="23">
        <v>145.22999999999999</v>
      </c>
      <c r="G29" s="125">
        <v>10.319548250000002</v>
      </c>
      <c r="H29" s="125">
        <v>4.6456733653846154</v>
      </c>
      <c r="I29" s="125">
        <v>56.769230769230766</v>
      </c>
      <c r="J29" s="125">
        <v>21.692307692307693</v>
      </c>
      <c r="K29" s="126">
        <v>4010.8695652173915</v>
      </c>
      <c r="L29" s="126">
        <v>1532.608695652174</v>
      </c>
      <c r="M29" s="112" t="s">
        <v>999</v>
      </c>
      <c r="N29" s="111" t="s">
        <v>999</v>
      </c>
      <c r="O29" s="127" t="s">
        <v>999</v>
      </c>
      <c r="P29" s="111" t="s">
        <v>999</v>
      </c>
      <c r="Q29" s="128">
        <v>2</v>
      </c>
      <c r="R29" s="128">
        <v>1</v>
      </c>
      <c r="V29" t="e">
        <f>VLOOKUP(B:B,PROFILY_ALL,1,FALSE)</f>
        <v>#REF!</v>
      </c>
    </row>
    <row r="30" spans="1:22">
      <c r="A30" s="2" t="s">
        <v>1000</v>
      </c>
      <c r="B30" s="253" t="str">
        <f t="shared" si="0"/>
        <v>Pisa (elox.)</v>
      </c>
      <c r="C30" s="23">
        <f t="shared" si="1"/>
        <v>370.8</v>
      </c>
      <c r="D30" s="23">
        <f t="shared" si="2"/>
        <v>161.71</v>
      </c>
      <c r="E30" s="23">
        <v>370.8</v>
      </c>
      <c r="F30" s="23">
        <v>161.71</v>
      </c>
      <c r="G30" s="125">
        <v>9.3470080000000024</v>
      </c>
      <c r="H30" s="125">
        <v>5.1473907692307694</v>
      </c>
      <c r="I30" s="125">
        <v>55.384615384615387</v>
      </c>
      <c r="J30" s="125">
        <v>24.153846153846153</v>
      </c>
      <c r="K30" s="126">
        <v>3913.0434782608695</v>
      </c>
      <c r="L30" s="126">
        <v>1706.5217391304348</v>
      </c>
      <c r="M30" s="112" t="s">
        <v>1000</v>
      </c>
      <c r="N30" s="111" t="s">
        <v>1000</v>
      </c>
      <c r="O30" s="127" t="s">
        <v>1000</v>
      </c>
      <c r="P30" s="111" t="s">
        <v>1000</v>
      </c>
      <c r="Q30" s="128">
        <v>2</v>
      </c>
      <c r="R30" s="128">
        <v>2</v>
      </c>
      <c r="V30" t="e">
        <f>VLOOKUP(B:B,PROFILY_ALL,1,FALSE)</f>
        <v>#REF!</v>
      </c>
    </row>
    <row r="31" spans="1:22">
      <c r="A31" s="2" t="s">
        <v>1593</v>
      </c>
      <c r="B31" s="253" t="str">
        <f t="shared" si="0"/>
        <v>Pisa černá mat</v>
      </c>
      <c r="C31" s="23">
        <f t="shared" si="1"/>
        <v>469.68</v>
      </c>
      <c r="D31" s="23">
        <f t="shared" si="2"/>
        <v>161.71</v>
      </c>
      <c r="E31" s="23">
        <v>469.68</v>
      </c>
      <c r="F31" s="23">
        <v>161.71</v>
      </c>
      <c r="G31" s="125">
        <v>11.650720696153847</v>
      </c>
      <c r="H31" s="125">
        <v>5.1473907692307694</v>
      </c>
      <c r="I31" s="125">
        <v>70.15384615384616</v>
      </c>
      <c r="J31" s="125">
        <v>24.153846153846153</v>
      </c>
      <c r="K31" s="126">
        <v>4956.521739130435</v>
      </c>
      <c r="L31" s="126">
        <v>1706.5217391304348</v>
      </c>
      <c r="M31" s="112" t="s">
        <v>1591</v>
      </c>
      <c r="N31" s="112" t="s">
        <v>1592</v>
      </c>
      <c r="O31" s="112" t="s">
        <v>1593</v>
      </c>
      <c r="P31" s="112" t="s">
        <v>1594</v>
      </c>
      <c r="Q31" s="128">
        <v>2</v>
      </c>
      <c r="R31" s="128">
        <v>2</v>
      </c>
      <c r="V31" t="e">
        <f>VLOOKUP(B:B,PROFILY_ALL,1,FALSE)</f>
        <v>#REF!</v>
      </c>
    </row>
    <row r="32" spans="1:22">
      <c r="A32" s="2" t="s">
        <v>1635</v>
      </c>
      <c r="B32" s="253" t="str">
        <f t="shared" si="0"/>
        <v>Pisa černá lesk</v>
      </c>
      <c r="C32" s="23">
        <f t="shared" si="1"/>
        <v>709.67000000000007</v>
      </c>
      <c r="D32" s="23">
        <f t="shared" si="2"/>
        <v>161.71</v>
      </c>
      <c r="E32" s="23">
        <v>709.67000000000007</v>
      </c>
      <c r="F32" s="23">
        <v>161.71</v>
      </c>
      <c r="G32" s="125">
        <v>20.72</v>
      </c>
      <c r="H32" s="125">
        <v>5.15</v>
      </c>
      <c r="I32" s="125">
        <v>106</v>
      </c>
      <c r="J32" s="125">
        <v>24.15</v>
      </c>
      <c r="K32" s="126">
        <v>7489</v>
      </c>
      <c r="L32" s="126">
        <v>1707</v>
      </c>
      <c r="M32" s="112" t="s">
        <v>1595</v>
      </c>
      <c r="N32" s="112" t="s">
        <v>1596</v>
      </c>
      <c r="O32" s="112" t="s">
        <v>1597</v>
      </c>
      <c r="P32" s="112" t="s">
        <v>1598</v>
      </c>
      <c r="Q32" s="128">
        <v>2</v>
      </c>
      <c r="R32" s="128">
        <v>2</v>
      </c>
    </row>
    <row r="33" spans="1:22">
      <c r="A33" s="2" t="s">
        <v>1001</v>
      </c>
      <c r="B33" s="253" t="str">
        <f>IF($D$1=1,M33,IF($D$1=2,N33,IF($D$1=3,O33,IF($D$1=4,P33,0))))</f>
        <v>Ravena (elox.)</v>
      </c>
      <c r="C33" s="23">
        <f t="shared" si="1"/>
        <v>278.10000000000002</v>
      </c>
      <c r="D33" s="23">
        <f t="shared" si="2"/>
        <v>112.27</v>
      </c>
      <c r="E33" s="23">
        <v>278.10000000000002</v>
      </c>
      <c r="F33" s="23">
        <v>112.27</v>
      </c>
      <c r="G33" s="125">
        <v>8.5713248076923083</v>
      </c>
      <c r="H33" s="125">
        <v>3.4277639423076924</v>
      </c>
      <c r="I33" s="125">
        <v>41.53846153846154</v>
      </c>
      <c r="J33" s="125">
        <v>16.76923076923077</v>
      </c>
      <c r="K33" s="126">
        <v>2934.7826086956525</v>
      </c>
      <c r="L33" s="126">
        <v>1184.7826086956522</v>
      </c>
      <c r="M33" s="112" t="s">
        <v>1413</v>
      </c>
      <c r="N33" s="112" t="s">
        <v>1001</v>
      </c>
      <c r="O33" s="112" t="s">
        <v>1001</v>
      </c>
      <c r="P33" s="112" t="s">
        <v>1001</v>
      </c>
      <c r="Q33" s="128">
        <v>1</v>
      </c>
      <c r="R33" s="128">
        <v>1</v>
      </c>
      <c r="V33" t="e">
        <f t="shared" ref="V33:V44" si="4">VLOOKUP(B:B,PROFILY_ALL,1,FALSE)</f>
        <v>#REF!</v>
      </c>
    </row>
    <row r="34" spans="1:22">
      <c r="A34" s="2" t="s">
        <v>1002</v>
      </c>
      <c r="B34" s="253" t="str">
        <f>IF($D$1=1,M34,IF($D$1=2,N34,IF($D$1=3,O34,IF($D$1=4,P34,0))))</f>
        <v>Siena (elox.)</v>
      </c>
      <c r="C34" s="23">
        <f t="shared" si="1"/>
        <v>380.07</v>
      </c>
      <c r="D34" s="23">
        <f t="shared" si="2"/>
        <v>145.22999999999999</v>
      </c>
      <c r="E34" s="23">
        <v>380.07</v>
      </c>
      <c r="F34" s="23">
        <v>145.22999999999999</v>
      </c>
      <c r="G34" s="125">
        <v>10.319548250000002</v>
      </c>
      <c r="H34" s="125">
        <v>4.6456733653846154</v>
      </c>
      <c r="I34" s="125">
        <v>56.769230769230766</v>
      </c>
      <c r="J34" s="125">
        <v>21.692307692307693</v>
      </c>
      <c r="K34" s="126">
        <v>4010.8695652173915</v>
      </c>
      <c r="L34" s="126">
        <v>1532.608695652174</v>
      </c>
      <c r="M34" s="112" t="s">
        <v>1002</v>
      </c>
      <c r="N34" s="112" t="s">
        <v>1002</v>
      </c>
      <c r="O34" s="112" t="s">
        <v>1002</v>
      </c>
      <c r="P34" s="112" t="s">
        <v>1002</v>
      </c>
      <c r="Q34" s="128">
        <v>2</v>
      </c>
      <c r="R34" s="128">
        <v>1</v>
      </c>
      <c r="V34" t="e">
        <f t="shared" si="4"/>
        <v>#REF!</v>
      </c>
    </row>
    <row r="35" spans="1:22">
      <c r="A35" s="2" t="s">
        <v>1003</v>
      </c>
      <c r="B35" s="253" t="str">
        <f t="shared" si="0"/>
        <v>Verona (elox.)</v>
      </c>
      <c r="C35" s="23">
        <f t="shared" si="1"/>
        <v>257.5</v>
      </c>
      <c r="D35" s="23">
        <f t="shared" si="2"/>
        <v>92.7</v>
      </c>
      <c r="E35" s="23">
        <v>257.5</v>
      </c>
      <c r="F35" s="23">
        <v>92.7</v>
      </c>
      <c r="G35" s="125">
        <v>6.2856381923076921</v>
      </c>
      <c r="H35" s="125">
        <v>3.4277639423076924</v>
      </c>
      <c r="I35" s="125">
        <v>38.46153846153846</v>
      </c>
      <c r="J35" s="125">
        <v>13.846153846153847</v>
      </c>
      <c r="K35" s="126">
        <v>2717.391304347826</v>
      </c>
      <c r="L35" s="126">
        <v>978.26086956521738</v>
      </c>
      <c r="M35" s="112" t="s">
        <v>1003</v>
      </c>
      <c r="N35" s="112" t="s">
        <v>1003</v>
      </c>
      <c r="O35" s="112" t="s">
        <v>1003</v>
      </c>
      <c r="P35" s="112" t="s">
        <v>1003</v>
      </c>
      <c r="Q35" s="128">
        <v>1</v>
      </c>
      <c r="R35" s="128">
        <v>1</v>
      </c>
      <c r="V35" t="e">
        <f t="shared" si="4"/>
        <v>#REF!</v>
      </c>
    </row>
    <row r="36" spans="1:22">
      <c r="A36" s="2" t="s">
        <v>694</v>
      </c>
      <c r="B36" s="253" t="str">
        <f>IF($D$1=1,M36,IF($D$1=2,N36,IF($D$1=3,O36,IF($D$1=4,P36,0))))</f>
        <v>Verona broušený hliník</v>
      </c>
      <c r="C36" s="23">
        <f t="shared" si="1"/>
        <v>447.02000000000004</v>
      </c>
      <c r="D36" s="23">
        <f t="shared" si="2"/>
        <v>112.27</v>
      </c>
      <c r="E36" s="23">
        <v>447.02000000000004</v>
      </c>
      <c r="F36" s="23">
        <v>112.27</v>
      </c>
      <c r="G36" s="125">
        <v>9.485395192307692</v>
      </c>
      <c r="H36" s="125">
        <v>3.4277639423076924</v>
      </c>
      <c r="I36" s="125">
        <v>66.769230769230774</v>
      </c>
      <c r="J36" s="125">
        <v>16.76923076923077</v>
      </c>
      <c r="K36" s="126">
        <v>4717.3913043478269</v>
      </c>
      <c r="L36" s="126">
        <v>1184.7826086956522</v>
      </c>
      <c r="M36" s="112" t="s">
        <v>1414</v>
      </c>
      <c r="N36" s="112" t="s">
        <v>693</v>
      </c>
      <c r="O36" s="112" t="s">
        <v>694</v>
      </c>
      <c r="P36" s="112" t="s">
        <v>695</v>
      </c>
      <c r="Q36" s="128">
        <v>1</v>
      </c>
      <c r="R36" s="128">
        <v>1</v>
      </c>
      <c r="V36" t="e">
        <f t="shared" si="4"/>
        <v>#REF!</v>
      </c>
    </row>
    <row r="37" spans="1:22">
      <c r="A37" s="2" t="s">
        <v>691</v>
      </c>
      <c r="B37" s="253" t="str">
        <f>IF($D$1=1,M37,IF($D$1=2,N37,IF($D$1=3,O37,IF($D$1=4,P37,0))))</f>
        <v>Verona černá lesk</v>
      </c>
      <c r="C37" s="23">
        <f t="shared" si="1"/>
        <v>373.89</v>
      </c>
      <c r="D37" s="23">
        <f t="shared" si="2"/>
        <v>112.27</v>
      </c>
      <c r="E37" s="23">
        <v>373.89</v>
      </c>
      <c r="F37" s="23">
        <v>112.27</v>
      </c>
      <c r="G37" s="125">
        <v>8.7122652692307696</v>
      </c>
      <c r="H37" s="125">
        <v>3.4277639423076924</v>
      </c>
      <c r="I37" s="125">
        <v>55.846153846153847</v>
      </c>
      <c r="J37" s="125">
        <v>16.76923076923077</v>
      </c>
      <c r="K37" s="126">
        <v>3945.652173913044</v>
      </c>
      <c r="L37" s="126">
        <v>1184.7826086956522</v>
      </c>
      <c r="M37" s="112" t="s">
        <v>689</v>
      </c>
      <c r="N37" s="112" t="s">
        <v>690</v>
      </c>
      <c r="O37" s="112" t="s">
        <v>691</v>
      </c>
      <c r="P37" s="112" t="s">
        <v>692</v>
      </c>
      <c r="Q37" s="128">
        <v>1</v>
      </c>
      <c r="R37" s="128">
        <v>1</v>
      </c>
      <c r="V37" t="e">
        <f t="shared" si="4"/>
        <v>#REF!</v>
      </c>
    </row>
    <row r="38" spans="1:22">
      <c r="A38" s="2" t="s">
        <v>1398</v>
      </c>
      <c r="B38" s="253" t="str">
        <f>IF($D$1=1,M38,IF($D$1=2,N38,IF($D$1=3,O38,IF($D$1=4,P38,0))))</f>
        <v>Verona černá mat</v>
      </c>
      <c r="C38" s="23">
        <f t="shared" si="1"/>
        <v>373.89</v>
      </c>
      <c r="D38" s="23">
        <f t="shared" si="2"/>
        <v>112.27</v>
      </c>
      <c r="E38" s="23">
        <v>373.89</v>
      </c>
      <c r="F38" s="23">
        <v>112.27</v>
      </c>
      <c r="G38" s="125">
        <v>8.7122652692307696</v>
      </c>
      <c r="H38" s="125">
        <v>3.4277639423076924</v>
      </c>
      <c r="I38" s="125">
        <v>55.846153846153847</v>
      </c>
      <c r="J38" s="125">
        <v>16.76923076923077</v>
      </c>
      <c r="K38" s="126">
        <v>3945.652173913044</v>
      </c>
      <c r="L38" s="126">
        <v>1184.7826086956522</v>
      </c>
      <c r="M38" s="112" t="s">
        <v>1575</v>
      </c>
      <c r="N38" s="112" t="s">
        <v>1576</v>
      </c>
      <c r="O38" s="112" t="s">
        <v>1577</v>
      </c>
      <c r="P38" s="112" t="s">
        <v>1578</v>
      </c>
      <c r="Q38" s="128">
        <v>1</v>
      </c>
      <c r="R38" s="128">
        <v>1</v>
      </c>
      <c r="V38" t="e">
        <f t="shared" si="4"/>
        <v>#REF!</v>
      </c>
    </row>
    <row r="39" spans="1:22">
      <c r="A39" s="2" t="s">
        <v>1399</v>
      </c>
      <c r="B39" s="254" t="str">
        <f t="shared" si="0"/>
        <v>Verona hnědá</v>
      </c>
      <c r="C39" s="23">
        <f t="shared" si="1"/>
        <v>373.89</v>
      </c>
      <c r="D39" s="23">
        <f t="shared" si="2"/>
        <v>112.27</v>
      </c>
      <c r="E39" s="23">
        <v>373.89</v>
      </c>
      <c r="F39" s="23">
        <v>112.27</v>
      </c>
      <c r="G39" s="125">
        <v>8.7122652692307696</v>
      </c>
      <c r="H39" s="125">
        <v>3.4277639423076924</v>
      </c>
      <c r="I39" s="125">
        <v>55.846153846153847</v>
      </c>
      <c r="J39" s="125">
        <v>16.76923076923077</v>
      </c>
      <c r="K39" s="126">
        <v>3945.652173913044</v>
      </c>
      <c r="L39" s="126">
        <v>1184.7826086956522</v>
      </c>
      <c r="M39" s="111" t="s">
        <v>1415</v>
      </c>
      <c r="N39" s="111" t="s">
        <v>1415</v>
      </c>
      <c r="O39" s="111" t="s">
        <v>1416</v>
      </c>
      <c r="P39" s="111" t="s">
        <v>1417</v>
      </c>
      <c r="Q39" s="128">
        <v>1</v>
      </c>
      <c r="R39" s="128">
        <v>1</v>
      </c>
      <c r="V39" t="e">
        <f t="shared" si="4"/>
        <v>#REF!</v>
      </c>
    </row>
    <row r="40" spans="1:22">
      <c r="A40" s="2" t="s">
        <v>687</v>
      </c>
      <c r="B40" s="254" t="str">
        <f t="shared" si="0"/>
        <v>Verona champagne</v>
      </c>
      <c r="C40" s="23">
        <f t="shared" si="1"/>
        <v>346.08</v>
      </c>
      <c r="D40" s="23">
        <f t="shared" si="2"/>
        <v>112.27</v>
      </c>
      <c r="E40" s="23">
        <v>346.08</v>
      </c>
      <c r="F40" s="23">
        <v>112.27</v>
      </c>
      <c r="G40" s="125">
        <v>8.0915655192307696</v>
      </c>
      <c r="H40" s="125">
        <v>3.4277639423076924</v>
      </c>
      <c r="I40" s="125">
        <v>51.692307692307693</v>
      </c>
      <c r="J40" s="125">
        <v>16.76923076923077</v>
      </c>
      <c r="K40" s="126">
        <v>3652.1739130434789</v>
      </c>
      <c r="L40" s="126">
        <v>1184.7826086956522</v>
      </c>
      <c r="M40" s="111" t="s">
        <v>686</v>
      </c>
      <c r="N40" s="111" t="s">
        <v>686</v>
      </c>
      <c r="O40" s="111" t="s">
        <v>687</v>
      </c>
      <c r="P40" s="111" t="s">
        <v>688</v>
      </c>
      <c r="Q40" s="128">
        <v>1</v>
      </c>
      <c r="R40" s="128">
        <v>1</v>
      </c>
      <c r="V40" t="e">
        <f t="shared" si="4"/>
        <v>#REF!</v>
      </c>
    </row>
    <row r="41" spans="1:22">
      <c r="A41" s="2" t="s">
        <v>697</v>
      </c>
      <c r="B41" s="253" t="str">
        <f t="shared" si="0"/>
        <v>Verona tmavá nerez broušená</v>
      </c>
      <c r="C41" s="23">
        <f t="shared" si="1"/>
        <v>458.35</v>
      </c>
      <c r="D41" s="23">
        <f t="shared" si="2"/>
        <v>112.27</v>
      </c>
      <c r="E41" s="23">
        <v>458.35</v>
      </c>
      <c r="F41" s="23">
        <v>112.27</v>
      </c>
      <c r="G41" s="125">
        <v>9.7560417307692315</v>
      </c>
      <c r="H41" s="125">
        <v>3.4277639423076924</v>
      </c>
      <c r="I41" s="125">
        <v>68.461538461538467</v>
      </c>
      <c r="J41" s="125">
        <v>16.76923076923077</v>
      </c>
      <c r="K41" s="126">
        <v>4836.95652173913</v>
      </c>
      <c r="L41" s="126">
        <v>1184.7826086956522</v>
      </c>
      <c r="M41" s="112" t="s">
        <v>1418</v>
      </c>
      <c r="N41" s="112" t="s">
        <v>696</v>
      </c>
      <c r="O41" s="112" t="s">
        <v>697</v>
      </c>
      <c r="P41" s="112" t="s">
        <v>698</v>
      </c>
      <c r="Q41" s="128">
        <v>1</v>
      </c>
      <c r="R41" s="128">
        <v>1</v>
      </c>
      <c r="V41" t="e">
        <f t="shared" si="4"/>
        <v>#REF!</v>
      </c>
    </row>
    <row r="42" spans="1:22">
      <c r="A42" s="2" t="s">
        <v>1400</v>
      </c>
      <c r="B42" s="253" t="str">
        <f t="shared" si="0"/>
        <v>Verona světlá nerez (Acier grata)</v>
      </c>
      <c r="C42" s="23">
        <f t="shared" si="1"/>
        <v>458.35</v>
      </c>
      <c r="D42" s="23">
        <f t="shared" si="2"/>
        <v>112.27</v>
      </c>
      <c r="E42" s="23">
        <v>458.35</v>
      </c>
      <c r="F42" s="23">
        <v>112.27</v>
      </c>
      <c r="G42" s="125">
        <v>9.4649690384615397</v>
      </c>
      <c r="H42" s="125">
        <v>3.4277639423076924</v>
      </c>
      <c r="I42" s="125">
        <v>68.461538461538467</v>
      </c>
      <c r="J42" s="125">
        <v>16.76923076923077</v>
      </c>
      <c r="K42" s="126">
        <v>4836.95652173913</v>
      </c>
      <c r="L42" s="126">
        <v>1184.7826086956522</v>
      </c>
      <c r="M42" s="112" t="s">
        <v>1419</v>
      </c>
      <c r="N42" s="112" t="s">
        <v>1420</v>
      </c>
      <c r="O42" s="112" t="s">
        <v>1421</v>
      </c>
      <c r="P42" s="112" t="s">
        <v>1422</v>
      </c>
      <c r="Q42" s="128">
        <v>1</v>
      </c>
      <c r="R42" s="128">
        <v>1</v>
      </c>
      <c r="V42" t="e">
        <f t="shared" si="4"/>
        <v>#REF!</v>
      </c>
    </row>
    <row r="43" spans="1:22">
      <c r="A43" s="2" t="s">
        <v>1004</v>
      </c>
      <c r="B43" s="253" t="str">
        <f t="shared" si="0"/>
        <v>Vivaro (elox.)</v>
      </c>
      <c r="C43" s="23">
        <f t="shared" si="1"/>
        <v>373.89</v>
      </c>
      <c r="D43" s="23">
        <f t="shared" si="2"/>
        <v>156.56</v>
      </c>
      <c r="E43" s="23">
        <v>373.89</v>
      </c>
      <c r="F43" s="23">
        <v>156.56</v>
      </c>
      <c r="G43" s="125">
        <v>10.235647823076922</v>
      </c>
      <c r="H43" s="125">
        <v>5.0516431730769238</v>
      </c>
      <c r="I43" s="125">
        <v>55.846153846153847</v>
      </c>
      <c r="J43" s="125">
        <v>23.384615384615383</v>
      </c>
      <c r="K43" s="126">
        <v>3945.652173913044</v>
      </c>
      <c r="L43" s="126">
        <v>1652.1739130434785</v>
      </c>
      <c r="M43" s="112" t="s">
        <v>1004</v>
      </c>
      <c r="N43" s="112" t="s">
        <v>1004</v>
      </c>
      <c r="O43" s="112" t="s">
        <v>1004</v>
      </c>
      <c r="P43" s="112" t="s">
        <v>1004</v>
      </c>
      <c r="Q43" s="128">
        <v>2</v>
      </c>
      <c r="R43" s="128">
        <v>1</v>
      </c>
      <c r="V43" t="e">
        <f t="shared" si="4"/>
        <v>#REF!</v>
      </c>
    </row>
    <row r="44" spans="1:22">
      <c r="A44" s="2" t="s">
        <v>1005</v>
      </c>
      <c r="B44" s="253" t="str">
        <f t="shared" si="0"/>
        <v>Vivaro černá mat</v>
      </c>
      <c r="C44" s="23">
        <f t="shared" si="1"/>
        <v>473.8</v>
      </c>
      <c r="D44" s="23">
        <f t="shared" si="2"/>
        <v>156.56</v>
      </c>
      <c r="E44" s="23">
        <v>473.8</v>
      </c>
      <c r="F44" s="23">
        <v>156.56</v>
      </c>
      <c r="G44" s="125">
        <v>14.810238173076923</v>
      </c>
      <c r="H44" s="125">
        <v>5.0516431730769238</v>
      </c>
      <c r="I44" s="125">
        <v>70.769230769230774</v>
      </c>
      <c r="J44" s="125">
        <v>23.384615384615383</v>
      </c>
      <c r="K44" s="126">
        <v>5000.0000000000009</v>
      </c>
      <c r="L44" s="126">
        <v>1652.1739130434785</v>
      </c>
      <c r="M44" s="112" t="s">
        <v>1583</v>
      </c>
      <c r="N44" s="112" t="s">
        <v>1584</v>
      </c>
      <c r="O44" s="112" t="s">
        <v>1585</v>
      </c>
      <c r="P44" s="112" t="s">
        <v>1586</v>
      </c>
      <c r="Q44" s="128">
        <v>2</v>
      </c>
      <c r="R44" s="128">
        <v>1</v>
      </c>
      <c r="V44" t="e">
        <f t="shared" si="4"/>
        <v>#REF!</v>
      </c>
    </row>
    <row r="45" spans="1:22">
      <c r="A45" s="2" t="s">
        <v>700</v>
      </c>
      <c r="B45" s="253" t="str">
        <f>IF($D$1=1,M45,IF($D$1=2,N45,IF($D$1=3,O45,IF($D$1=4,P45,0))))</f>
        <v>Vivaro tmavá nerez br. (inox lija)</v>
      </c>
      <c r="C45" s="23">
        <f t="shared" ref="C45:D47" si="5">IF($D$1=1,E45,IF($D$1=2,G45,IF($D$1=3,I45,IF($D$1=4,K45,0))))</f>
        <v>525.30000000000007</v>
      </c>
      <c r="D45" s="23">
        <f t="shared" si="5"/>
        <v>156.56</v>
      </c>
      <c r="E45" s="23">
        <v>525.30000000000007</v>
      </c>
      <c r="F45" s="23">
        <v>156.56</v>
      </c>
      <c r="G45" s="125">
        <v>13.170784000000003</v>
      </c>
      <c r="H45" s="125">
        <v>5.0516431730769238</v>
      </c>
      <c r="I45" s="125">
        <v>78.461538461538467</v>
      </c>
      <c r="J45" s="125">
        <v>23.384615384615383</v>
      </c>
      <c r="K45" s="126">
        <v>5543.4782608695659</v>
      </c>
      <c r="L45" s="126">
        <v>1652.1739130434785</v>
      </c>
      <c r="M45" s="112" t="s">
        <v>1423</v>
      </c>
      <c r="N45" s="112" t="s">
        <v>1423</v>
      </c>
      <c r="O45" s="112" t="s">
        <v>700</v>
      </c>
      <c r="P45" s="112" t="s">
        <v>701</v>
      </c>
      <c r="Q45" s="128">
        <v>2</v>
      </c>
      <c r="R45" s="128">
        <v>1</v>
      </c>
      <c r="V45" t="e">
        <f>VLOOKUP(B:B,PROFILY_ALL,1,FALSE)</f>
        <v>#REF!</v>
      </c>
    </row>
    <row r="46" spans="1:22">
      <c r="A46" s="2" t="s">
        <v>1625</v>
      </c>
      <c r="B46" s="253" t="str">
        <f>IF($D$1=1,M46,IF($D$1=2,N46,IF($D$1=3,O46,IF($D$1=4,P46,0))))</f>
        <v>Vivaro bílá mat</v>
      </c>
      <c r="C46" s="23">
        <f t="shared" si="5"/>
        <v>473.8</v>
      </c>
      <c r="D46" s="23">
        <f t="shared" si="5"/>
        <v>156.56</v>
      </c>
      <c r="E46" s="23">
        <v>473.8</v>
      </c>
      <c r="F46" s="23">
        <v>156.56</v>
      </c>
      <c r="G46" s="125">
        <v>14.810238173076923</v>
      </c>
      <c r="H46" s="125">
        <v>5.0516431730769238</v>
      </c>
      <c r="I46" s="125">
        <v>70.769230769230774</v>
      </c>
      <c r="J46" s="125">
        <v>23.384615384615383</v>
      </c>
      <c r="K46" s="126">
        <v>5000.0000000000009</v>
      </c>
      <c r="L46" s="126">
        <v>1652.1739130434785</v>
      </c>
      <c r="M46" s="111" t="s">
        <v>1623</v>
      </c>
      <c r="N46" s="111" t="s">
        <v>1624</v>
      </c>
      <c r="O46" s="124" t="s">
        <v>1625</v>
      </c>
      <c r="P46" s="111" t="s">
        <v>1626</v>
      </c>
      <c r="Q46" s="128">
        <v>2</v>
      </c>
      <c r="R46" s="128">
        <v>1</v>
      </c>
    </row>
    <row r="47" spans="1:22">
      <c r="A47" s="2" t="s">
        <v>1629</v>
      </c>
      <c r="B47" s="253" t="str">
        <f>IF($D$1=1,M47,IF($D$1=2,N47,IF($D$1=3,O47,IF($D$1=4,P47,0))))</f>
        <v>Vivaro bílá lesk</v>
      </c>
      <c r="C47" s="23">
        <f t="shared" si="5"/>
        <v>473.8</v>
      </c>
      <c r="D47" s="23">
        <f t="shared" si="5"/>
        <v>156.56</v>
      </c>
      <c r="E47" s="23">
        <v>473.8</v>
      </c>
      <c r="F47" s="23">
        <v>156.56</v>
      </c>
      <c r="G47" s="125">
        <v>14.81</v>
      </c>
      <c r="H47" s="125">
        <v>5.05</v>
      </c>
      <c r="I47" s="125">
        <v>70.77</v>
      </c>
      <c r="J47" s="125">
        <v>23.38</v>
      </c>
      <c r="K47" s="126">
        <v>5000</v>
      </c>
      <c r="L47" s="126">
        <v>1652</v>
      </c>
      <c r="M47" s="111" t="s">
        <v>1627</v>
      </c>
      <c r="N47" s="111" t="s">
        <v>1628</v>
      </c>
      <c r="O47" s="124" t="s">
        <v>1629</v>
      </c>
      <c r="P47" s="111" t="s">
        <v>1630</v>
      </c>
      <c r="Q47" s="128">
        <v>2</v>
      </c>
      <c r="R47" s="128">
        <v>1</v>
      </c>
      <c r="V47" t="e">
        <f>VLOOKUP(B:B,PROFILY_ALL,1,FALSE)</f>
        <v>#REF!</v>
      </c>
    </row>
    <row r="49" spans="2:16">
      <c r="B49" s="2"/>
      <c r="C49" s="2"/>
      <c r="D49" s="2"/>
      <c r="E49" s="2"/>
      <c r="F49" s="2"/>
      <c r="G49" s="2"/>
      <c r="H49" s="2"/>
      <c r="I49" s="2"/>
      <c r="J49" s="2"/>
      <c r="K49" s="2"/>
      <c r="L49" s="2"/>
    </row>
    <row r="50" spans="2:16">
      <c r="B50" s="2"/>
      <c r="C50" s="2"/>
      <c r="D50" s="2"/>
      <c r="E50" s="2"/>
      <c r="F50" s="2"/>
      <c r="G50" s="2"/>
      <c r="H50" s="2"/>
      <c r="I50" s="2"/>
      <c r="J50" s="2"/>
      <c r="K50" s="2"/>
      <c r="L50" s="2"/>
    </row>
    <row r="51" spans="2:16">
      <c r="B51" s="6" t="s">
        <v>19</v>
      </c>
      <c r="C51" s="1019" t="s">
        <v>43</v>
      </c>
      <c r="D51" s="1019"/>
      <c r="E51" s="1019" t="s">
        <v>43</v>
      </c>
      <c r="F51" s="1019"/>
      <c r="G51" s="1019" t="s">
        <v>43</v>
      </c>
      <c r="H51" s="1019"/>
      <c r="I51" s="1019" t="s">
        <v>43</v>
      </c>
      <c r="J51" s="1019"/>
      <c r="K51" s="1019" t="s">
        <v>43</v>
      </c>
      <c r="L51" s="1038"/>
    </row>
    <row r="52" spans="2:16">
      <c r="B52" s="7" t="str">
        <f t="shared" ref="B52:B112" si="6">IF($D$1=1,M52,IF($D$1=2,N52,IF($D$1=3,O52,IF($D$1=4,P52,0))))</f>
        <v>Čiré</v>
      </c>
      <c r="C52" s="1020">
        <f>IF($D$1=1,E52,IF($D$1=2,G52,IF($D$1=3,I52,IF($D$1=4,K52,0))))</f>
        <v>504.7</v>
      </c>
      <c r="D52" s="1020">
        <f>IF($D$1=1,F52,IF($D$1=2,H52,IF($D$1=3,J52,IF($D$1=4,L52,0))))</f>
        <v>0</v>
      </c>
      <c r="E52" s="1039">
        <v>504.7</v>
      </c>
      <c r="F52" s="1040"/>
      <c r="G52" s="1032">
        <v>19.600000000000001</v>
      </c>
      <c r="H52" s="1033"/>
      <c r="I52" s="1032">
        <v>75.384615384615387</v>
      </c>
      <c r="J52" s="1033"/>
      <c r="K52" s="1034">
        <v>4508</v>
      </c>
      <c r="L52" s="1035"/>
      <c r="M52" s="101" t="s">
        <v>710</v>
      </c>
      <c r="N52" s="102" t="s">
        <v>711</v>
      </c>
      <c r="O52" s="102" t="s">
        <v>712</v>
      </c>
      <c r="P52" s="103" t="s">
        <v>713</v>
      </c>
    </row>
    <row r="53" spans="2:16">
      <c r="B53" s="7" t="str">
        <f t="shared" si="6"/>
        <v>Čiré kalené (dodání 3 týdny)</v>
      </c>
      <c r="C53" s="1020">
        <f>IF($D$1=1,E53,IF($D$1=2,G53,IF($D$1=3,I53,IF($D$1=4,K53,0))))</f>
        <v>1019.7</v>
      </c>
      <c r="D53" s="1020">
        <f>IF($D$1=1,F53,IF($D$1=2,H53,IF($D$1=3,J53,IF($D$1=4,L53,0))))</f>
        <v>0</v>
      </c>
      <c r="E53" s="1004">
        <v>1019.7</v>
      </c>
      <c r="F53" s="1005"/>
      <c r="G53" s="1036">
        <v>39.6</v>
      </c>
      <c r="H53" s="1037"/>
      <c r="I53" s="1036">
        <v>152.30769230769232</v>
      </c>
      <c r="J53" s="1037"/>
      <c r="K53" s="1034">
        <v>9108</v>
      </c>
      <c r="L53" s="1035"/>
      <c r="M53" s="101" t="s">
        <v>955</v>
      </c>
      <c r="N53" s="102" t="s">
        <v>956</v>
      </c>
      <c r="O53" s="102" t="s">
        <v>957</v>
      </c>
      <c r="P53" s="103" t="s">
        <v>967</v>
      </c>
    </row>
    <row r="54" spans="2:16">
      <c r="B54" s="7" t="str">
        <f t="shared" si="6"/>
        <v>Satinato</v>
      </c>
      <c r="C54" s="1011">
        <f t="shared" ref="C54:C107" si="7">IF($D$1=1,E54,IF($D$1=2,G54,IF($D$1=3,I54,IF($D$1=4,K54,0))))</f>
        <v>1442</v>
      </c>
      <c r="D54" s="1011">
        <f t="shared" ref="D54:D107" si="8">IF($D$1=1,F54,IF($D$1=2,H54,IF($D$1=3,J54,IF($D$1=4,L54,0))))</f>
        <v>0</v>
      </c>
      <c r="E54" s="1004">
        <v>1442</v>
      </c>
      <c r="F54" s="1005"/>
      <c r="G54" s="1029">
        <v>56</v>
      </c>
      <c r="H54" s="1029"/>
      <c r="I54" s="1029">
        <v>215.38461538461539</v>
      </c>
      <c r="J54" s="1029"/>
      <c r="K54" s="1030">
        <v>12879.999999999998</v>
      </c>
      <c r="L54" s="1031"/>
      <c r="M54" s="8" t="s">
        <v>715</v>
      </c>
      <c r="N54" s="99" t="s">
        <v>715</v>
      </c>
      <c r="O54" s="99" t="s">
        <v>715</v>
      </c>
      <c r="P54" s="100" t="s">
        <v>715</v>
      </c>
    </row>
    <row r="55" spans="2:16">
      <c r="B55" s="7" t="str">
        <f t="shared" si="6"/>
        <v>Satinato kalené (dodání 3 týdny)</v>
      </c>
      <c r="C55" s="1011">
        <f t="shared" si="7"/>
        <v>2214.5</v>
      </c>
      <c r="D55" s="1011">
        <f t="shared" si="8"/>
        <v>0</v>
      </c>
      <c r="E55" s="1004">
        <v>2214.5</v>
      </c>
      <c r="F55" s="1005"/>
      <c r="G55" s="1029">
        <v>86</v>
      </c>
      <c r="H55" s="1029"/>
      <c r="I55" s="1029">
        <v>330.76923076923077</v>
      </c>
      <c r="J55" s="1029"/>
      <c r="K55" s="1030">
        <v>19780</v>
      </c>
      <c r="L55" s="1031"/>
      <c r="M55" s="8" t="s">
        <v>954</v>
      </c>
      <c r="N55" s="99" t="s">
        <v>959</v>
      </c>
      <c r="O55" s="99" t="s">
        <v>958</v>
      </c>
      <c r="P55" s="100" t="s">
        <v>968</v>
      </c>
    </row>
    <row r="56" spans="2:16">
      <c r="B56" s="7" t="str">
        <f t="shared" si="6"/>
        <v>Satinato hnědé</v>
      </c>
      <c r="C56" s="1011">
        <f t="shared" si="7"/>
        <v>1810.74</v>
      </c>
      <c r="D56" s="1011">
        <f t="shared" si="8"/>
        <v>0</v>
      </c>
      <c r="E56" s="1004">
        <v>1810.74</v>
      </c>
      <c r="F56" s="1005"/>
      <c r="G56" s="1029">
        <v>70.319999999999993</v>
      </c>
      <c r="H56" s="1029"/>
      <c r="I56" s="1029">
        <v>270.46153846153845</v>
      </c>
      <c r="J56" s="1029"/>
      <c r="K56" s="1030">
        <v>16173.599999999999</v>
      </c>
      <c r="L56" s="1031"/>
      <c r="M56" s="8" t="s">
        <v>1424</v>
      </c>
      <c r="N56" s="8" t="s">
        <v>1653</v>
      </c>
      <c r="O56" s="8" t="s">
        <v>1656</v>
      </c>
      <c r="P56" s="8" t="s">
        <v>1654</v>
      </c>
    </row>
    <row r="57" spans="2:16">
      <c r="B57" s="7" t="str">
        <f t="shared" si="6"/>
        <v>Satinato grafit</v>
      </c>
      <c r="C57" s="1011">
        <f t="shared" si="7"/>
        <v>1810.74</v>
      </c>
      <c r="D57" s="1011">
        <f t="shared" si="8"/>
        <v>0</v>
      </c>
      <c r="E57" s="1004">
        <v>1810.74</v>
      </c>
      <c r="F57" s="1005"/>
      <c r="G57" s="1029">
        <v>70.319999999999993</v>
      </c>
      <c r="H57" s="1029"/>
      <c r="I57" s="1029">
        <v>270.46153846153845</v>
      </c>
      <c r="J57" s="1029"/>
      <c r="K57" s="1030">
        <v>16173.599999999999</v>
      </c>
      <c r="L57" s="1031"/>
      <c r="M57" s="8" t="s">
        <v>1425</v>
      </c>
      <c r="N57" s="8" t="s">
        <v>1425</v>
      </c>
      <c r="O57" s="8" t="s">
        <v>1425</v>
      </c>
      <c r="P57" s="8" t="s">
        <v>1425</v>
      </c>
    </row>
    <row r="58" spans="2:16">
      <c r="B58" s="7" t="str">
        <f t="shared" si="6"/>
        <v>Screen</v>
      </c>
      <c r="C58" s="1011">
        <f>IF($D$1=1,E58,IF($D$1=2,G58,IF($D$1=3,I58,IF($D$1=4,K58,0))))</f>
        <v>1419.3400000000001</v>
      </c>
      <c r="D58" s="1011">
        <f>IF($D$1=1,F58,IF($D$1=2,H58,IF($D$1=3,J58,IF($D$1=4,L58,0))))</f>
        <v>0</v>
      </c>
      <c r="E58" s="1004">
        <v>1419.3400000000001</v>
      </c>
      <c r="F58" s="1005"/>
      <c r="G58" s="1029">
        <v>55.12</v>
      </c>
      <c r="H58" s="1029"/>
      <c r="I58" s="1029">
        <v>212</v>
      </c>
      <c r="J58" s="1029"/>
      <c r="K58" s="1030">
        <v>12677.599999999999</v>
      </c>
      <c r="L58" s="1031"/>
      <c r="M58" s="8" t="s">
        <v>1426</v>
      </c>
      <c r="N58" s="8" t="s">
        <v>1426</v>
      </c>
      <c r="O58" s="8" t="s">
        <v>1426</v>
      </c>
      <c r="P58" s="8" t="s">
        <v>1426</v>
      </c>
    </row>
    <row r="59" spans="2:16">
      <c r="B59" s="7" t="str">
        <f t="shared" si="6"/>
        <v>Venus VG10</v>
      </c>
      <c r="C59" s="1011">
        <f t="shared" si="7"/>
        <v>2639.89</v>
      </c>
      <c r="D59" s="1011">
        <f t="shared" si="8"/>
        <v>0</v>
      </c>
      <c r="E59" s="1004">
        <v>2639.89</v>
      </c>
      <c r="F59" s="1005"/>
      <c r="G59" s="1029">
        <v>102.52</v>
      </c>
      <c r="H59" s="1029"/>
      <c r="I59" s="1029">
        <v>394.30769230769232</v>
      </c>
      <c r="J59" s="1029"/>
      <c r="K59" s="1030">
        <v>23579.599999999999</v>
      </c>
      <c r="L59" s="1031"/>
      <c r="M59" s="8" t="s">
        <v>1427</v>
      </c>
      <c r="N59" s="8" t="s">
        <v>1427</v>
      </c>
      <c r="O59" s="8" t="s">
        <v>1427</v>
      </c>
      <c r="P59" s="8" t="s">
        <v>1427</v>
      </c>
    </row>
    <row r="60" spans="2:16">
      <c r="B60" s="7" t="str">
        <f t="shared" si="6"/>
        <v>Stopsol bronz</v>
      </c>
      <c r="C60" s="1011">
        <f t="shared" si="7"/>
        <v>2414.3200000000002</v>
      </c>
      <c r="D60" s="1011">
        <f t="shared" si="8"/>
        <v>0</v>
      </c>
      <c r="E60" s="1004">
        <v>2414.3200000000002</v>
      </c>
      <c r="F60" s="1005"/>
      <c r="G60" s="1029">
        <v>93.76</v>
      </c>
      <c r="H60" s="1029"/>
      <c r="I60" s="1029">
        <v>360.61538461538464</v>
      </c>
      <c r="J60" s="1029"/>
      <c r="K60" s="1030">
        <v>21564.799999999999</v>
      </c>
      <c r="L60" s="1031"/>
      <c r="M60" s="8" t="s">
        <v>1428</v>
      </c>
      <c r="N60" s="8" t="s">
        <v>1428</v>
      </c>
      <c r="O60" s="8" t="s">
        <v>1657</v>
      </c>
      <c r="P60" s="8" t="s">
        <v>1428</v>
      </c>
    </row>
    <row r="61" spans="2:16">
      <c r="B61" s="7" t="str">
        <f t="shared" si="6"/>
        <v>Lakomat</v>
      </c>
      <c r="C61" s="1011">
        <f>IF($D$1=1,E61,IF($D$1=2,G61,IF($D$1=3,I61,IF($D$1=4,K61,0))))</f>
        <v>1341.06</v>
      </c>
      <c r="D61" s="1011">
        <f>IF($D$1=1,F61,IF($D$1=2,H61,IF($D$1=3,J61,IF($D$1=4,L61,0))))</f>
        <v>0</v>
      </c>
      <c r="E61" s="1004">
        <v>1341.06</v>
      </c>
      <c r="F61" s="1005"/>
      <c r="G61" s="1029">
        <v>52.08</v>
      </c>
      <c r="H61" s="1029"/>
      <c r="I61" s="1029">
        <v>200.30769230769232</v>
      </c>
      <c r="J61" s="1029"/>
      <c r="K61" s="1030">
        <v>11978.4</v>
      </c>
      <c r="L61" s="1031"/>
      <c r="M61" s="8" t="s">
        <v>716</v>
      </c>
      <c r="N61" s="99" t="s">
        <v>716</v>
      </c>
      <c r="O61" s="99" t="s">
        <v>716</v>
      </c>
      <c r="P61" s="100" t="s">
        <v>716</v>
      </c>
    </row>
    <row r="62" spans="2:16">
      <c r="B62" s="7" t="str">
        <f t="shared" si="6"/>
        <v>Pisek</v>
      </c>
      <c r="C62" s="1011">
        <f t="shared" si="7"/>
        <v>1117.55</v>
      </c>
      <c r="D62" s="1011">
        <f t="shared" si="8"/>
        <v>0</v>
      </c>
      <c r="E62" s="1004">
        <v>1117.55</v>
      </c>
      <c r="F62" s="1005"/>
      <c r="G62" s="1029">
        <v>43.4</v>
      </c>
      <c r="H62" s="1029"/>
      <c r="I62" s="1029">
        <v>166.92307692307693</v>
      </c>
      <c r="J62" s="1029"/>
      <c r="K62" s="1030">
        <v>9982</v>
      </c>
      <c r="L62" s="1031"/>
      <c r="M62" s="8" t="s">
        <v>714</v>
      </c>
      <c r="N62" s="99" t="s">
        <v>1662</v>
      </c>
      <c r="O62" s="99" t="s">
        <v>1661</v>
      </c>
      <c r="P62" s="100" t="s">
        <v>1660</v>
      </c>
    </row>
    <row r="63" spans="2:16">
      <c r="B63" s="7" t="str">
        <f t="shared" si="6"/>
        <v>Antisol bronz</v>
      </c>
      <c r="C63" s="1011">
        <f t="shared" si="7"/>
        <v>927</v>
      </c>
      <c r="D63" s="1011">
        <f t="shared" si="8"/>
        <v>0</v>
      </c>
      <c r="E63" s="1004">
        <v>927</v>
      </c>
      <c r="F63" s="1005"/>
      <c r="G63" s="1029">
        <v>36</v>
      </c>
      <c r="H63" s="1029"/>
      <c r="I63" s="1029">
        <v>138.46153846153845</v>
      </c>
      <c r="J63" s="1029"/>
      <c r="K63" s="1030">
        <v>8280</v>
      </c>
      <c r="L63" s="1031"/>
      <c r="M63" s="8" t="s">
        <v>726</v>
      </c>
      <c r="N63" s="99" t="s">
        <v>726</v>
      </c>
      <c r="O63" s="99" t="s">
        <v>726</v>
      </c>
      <c r="P63" s="100" t="s">
        <v>726</v>
      </c>
    </row>
    <row r="64" spans="2:16">
      <c r="B64" s="7" t="str">
        <f t="shared" si="6"/>
        <v>Antisol grafit</v>
      </c>
      <c r="C64" s="1011">
        <f t="shared" si="7"/>
        <v>927</v>
      </c>
      <c r="D64" s="1011">
        <f t="shared" si="8"/>
        <v>0</v>
      </c>
      <c r="E64" s="1004">
        <v>927</v>
      </c>
      <c r="F64" s="1005"/>
      <c r="G64" s="1029">
        <v>36</v>
      </c>
      <c r="H64" s="1029"/>
      <c r="I64" s="1029">
        <v>138.46153846153845</v>
      </c>
      <c r="J64" s="1029"/>
      <c r="K64" s="1030">
        <v>8280</v>
      </c>
      <c r="L64" s="1031"/>
      <c r="M64" s="8" t="s">
        <v>727</v>
      </c>
      <c r="N64" s="99" t="s">
        <v>727</v>
      </c>
      <c r="O64" s="99" t="s">
        <v>727</v>
      </c>
      <c r="P64" s="100" t="s">
        <v>727</v>
      </c>
    </row>
    <row r="65" spans="2:16">
      <c r="B65" s="7" t="str">
        <f t="shared" si="6"/>
        <v>Zrcadlo</v>
      </c>
      <c r="C65" s="1011">
        <f t="shared" si="7"/>
        <v>844.6</v>
      </c>
      <c r="D65" s="1011">
        <f t="shared" si="8"/>
        <v>0</v>
      </c>
      <c r="E65" s="1004">
        <v>844.6</v>
      </c>
      <c r="F65" s="1005"/>
      <c r="G65" s="1029">
        <v>32.799999999999997</v>
      </c>
      <c r="H65" s="1029"/>
      <c r="I65" s="1029">
        <v>126.15384615384616</v>
      </c>
      <c r="J65" s="1029"/>
      <c r="K65" s="1030">
        <v>7543.9999999999991</v>
      </c>
      <c r="L65" s="1031"/>
      <c r="M65" s="8" t="s">
        <v>717</v>
      </c>
      <c r="N65" s="99" t="s">
        <v>718</v>
      </c>
      <c r="O65" s="99" t="s">
        <v>719</v>
      </c>
      <c r="P65" s="100" t="s">
        <v>619</v>
      </c>
    </row>
    <row r="66" spans="2:16">
      <c r="B66" s="7" t="str">
        <f t="shared" si="6"/>
        <v>Zrcadlo hnědé</v>
      </c>
      <c r="C66" s="1011">
        <f>IF($D$1=1,E66,IF($D$1=2,G66,IF($D$1=3,I66,IF($D$1=4,K66,0))))</f>
        <v>1128.8800000000001</v>
      </c>
      <c r="D66" s="1011">
        <f>IF($D$1=1,F66,IF($D$1=2,H66,IF($D$1=3,J66,IF($D$1=4,L66,0))))</f>
        <v>0</v>
      </c>
      <c r="E66" s="1004">
        <v>1128.8800000000001</v>
      </c>
      <c r="F66" s="1005"/>
      <c r="G66" s="1029">
        <v>43.84</v>
      </c>
      <c r="H66" s="1029"/>
      <c r="I66" s="1029">
        <v>168.61538461538461</v>
      </c>
      <c r="J66" s="1029"/>
      <c r="K66" s="1030">
        <v>10083.199999999999</v>
      </c>
      <c r="L66" s="1031"/>
      <c r="M66" s="8" t="s">
        <v>1647</v>
      </c>
      <c r="N66" s="99" t="s">
        <v>1655</v>
      </c>
      <c r="O66" s="99" t="s">
        <v>1658</v>
      </c>
      <c r="P66" s="100" t="s">
        <v>1659</v>
      </c>
    </row>
    <row r="67" spans="2:16">
      <c r="B67" s="7" t="str">
        <f t="shared" si="6"/>
        <v>Zrcadlo grafit</v>
      </c>
      <c r="C67" s="1011">
        <f>IF($D$1=1,E67,IF($D$1=2,G67,IF($D$1=3,I67,IF($D$1=4,K67,0))))</f>
        <v>1128.8800000000001</v>
      </c>
      <c r="D67" s="1011">
        <f>IF($D$1=1,F67,IF($D$1=2,H67,IF($D$1=3,J67,IF($D$1=4,L67,0))))</f>
        <v>0</v>
      </c>
      <c r="E67" s="1004">
        <v>1128.8800000000001</v>
      </c>
      <c r="F67" s="1005"/>
      <c r="G67" s="1029">
        <v>43.84</v>
      </c>
      <c r="H67" s="1029"/>
      <c r="I67" s="1029">
        <v>168.61538461538461</v>
      </c>
      <c r="J67" s="1029"/>
      <c r="K67" s="1030">
        <v>10083.199999999999</v>
      </c>
      <c r="L67" s="1031"/>
      <c r="M67" s="8" t="s">
        <v>1648</v>
      </c>
      <c r="N67" s="99" t="s">
        <v>1649</v>
      </c>
      <c r="O67" s="99" t="s">
        <v>1650</v>
      </c>
      <c r="P67" s="100" t="s">
        <v>1651</v>
      </c>
    </row>
    <row r="68" spans="2:16">
      <c r="B68" s="7" t="str">
        <f t="shared" si="6"/>
        <v>Zrcadlo + bezpečnostní fólie</v>
      </c>
      <c r="C68" s="1011">
        <f t="shared" si="7"/>
        <v>952.75</v>
      </c>
      <c r="D68" s="1011">
        <f t="shared" si="8"/>
        <v>0</v>
      </c>
      <c r="E68" s="1004">
        <v>952.75</v>
      </c>
      <c r="F68" s="1005"/>
      <c r="G68" s="1029">
        <v>37</v>
      </c>
      <c r="H68" s="1029"/>
      <c r="I68" s="1029">
        <v>142.30769230769232</v>
      </c>
      <c r="J68" s="1029"/>
      <c r="K68" s="1030">
        <v>8510</v>
      </c>
      <c r="L68" s="1031"/>
      <c r="M68" s="8" t="s">
        <v>741</v>
      </c>
      <c r="N68" s="99" t="s">
        <v>1007</v>
      </c>
      <c r="O68" s="99" t="s">
        <v>960</v>
      </c>
      <c r="P68" s="100" t="s">
        <v>969</v>
      </c>
    </row>
    <row r="69" spans="2:16">
      <c r="B69" s="7" t="str">
        <f t="shared" si="6"/>
        <v>Krizet</v>
      </c>
      <c r="C69" s="1011">
        <f>IF($D$1=1,E69,IF($D$1=2,G69,IF($D$1=3,I69,IF($D$1=4,K69,0))))</f>
        <v>1419.3400000000001</v>
      </c>
      <c r="D69" s="1011">
        <f>IF($D$1=1,F69,IF($D$1=2,H69,IF($D$1=3,J69,IF($D$1=4,L69,0))))</f>
        <v>0</v>
      </c>
      <c r="E69" s="1004">
        <v>1419.3400000000001</v>
      </c>
      <c r="F69" s="1005"/>
      <c r="G69" s="1029">
        <v>55.12</v>
      </c>
      <c r="H69" s="1029"/>
      <c r="I69" s="1029">
        <v>212</v>
      </c>
      <c r="J69" s="1029"/>
      <c r="K69" s="1030">
        <v>12677.599999999999</v>
      </c>
      <c r="L69" s="1031"/>
      <c r="M69" s="110" t="s">
        <v>1652</v>
      </c>
      <c r="N69" s="110" t="s">
        <v>1652</v>
      </c>
      <c r="O69" s="110" t="s">
        <v>1652</v>
      </c>
      <c r="P69" s="110" t="s">
        <v>1652</v>
      </c>
    </row>
    <row r="70" spans="2:16">
      <c r="B70" s="7" t="str">
        <f t="shared" si="6"/>
        <v>Master (Carre)</v>
      </c>
      <c r="C70" s="1012">
        <f t="shared" si="7"/>
        <v>1419.3400000000001</v>
      </c>
      <c r="D70" s="1012">
        <f t="shared" si="8"/>
        <v>0</v>
      </c>
      <c r="E70" s="1004">
        <v>1419.3400000000001</v>
      </c>
      <c r="F70" s="1005"/>
      <c r="G70" s="1016">
        <v>55.12</v>
      </c>
      <c r="H70" s="1016"/>
      <c r="I70" s="1016">
        <v>212</v>
      </c>
      <c r="J70" s="1016"/>
      <c r="K70" s="1027">
        <v>12677.599999999999</v>
      </c>
      <c r="L70" s="1028"/>
      <c r="M70" s="110" t="s">
        <v>720</v>
      </c>
      <c r="N70" s="99" t="s">
        <v>720</v>
      </c>
      <c r="O70" s="99" t="s">
        <v>720</v>
      </c>
      <c r="P70" s="100" t="s">
        <v>720</v>
      </c>
    </row>
    <row r="71" spans="2:16">
      <c r="B71" s="7" t="str">
        <f t="shared" si="6"/>
        <v xml:space="preserve">Master  Lens </v>
      </c>
      <c r="C71" s="1012">
        <f>IF($D$1=1,E71,IF($D$1=2,G71,IF($D$1=3,I71,IF($D$1=4,K71,0))))</f>
        <v>1419.3400000000001</v>
      </c>
      <c r="D71" s="1012">
        <f>IF($D$1=1,F71,IF($D$1=2,H71,IF($D$1=3,J71,IF($D$1=4,L71,0))))</f>
        <v>0</v>
      </c>
      <c r="E71" s="1004">
        <v>1419.3400000000001</v>
      </c>
      <c r="F71" s="1005"/>
      <c r="G71" s="1016">
        <v>55.12</v>
      </c>
      <c r="H71" s="1016"/>
      <c r="I71" s="1016">
        <v>212</v>
      </c>
      <c r="J71" s="1016"/>
      <c r="K71" s="1027">
        <v>12677.599999999999</v>
      </c>
      <c r="L71" s="1028"/>
      <c r="M71" s="110" t="s">
        <v>721</v>
      </c>
      <c r="N71" s="99" t="s">
        <v>721</v>
      </c>
      <c r="O71" s="99" t="s">
        <v>721</v>
      </c>
      <c r="P71" s="100" t="s">
        <v>721</v>
      </c>
    </row>
    <row r="72" spans="2:16">
      <c r="B72" s="7" t="str">
        <f t="shared" si="6"/>
        <v>Master  Ligne</v>
      </c>
      <c r="C72" s="1013">
        <f t="shared" si="7"/>
        <v>1419.3400000000001</v>
      </c>
      <c r="D72" s="1013">
        <f t="shared" si="8"/>
        <v>0</v>
      </c>
      <c r="E72" s="1004">
        <v>1419.3400000000001</v>
      </c>
      <c r="F72" s="1005"/>
      <c r="G72" s="1024">
        <v>55.12</v>
      </c>
      <c r="H72" s="1024"/>
      <c r="I72" s="1024">
        <v>212</v>
      </c>
      <c r="J72" s="1024"/>
      <c r="K72" s="1025">
        <v>12677.599999999999</v>
      </c>
      <c r="L72" s="1026"/>
      <c r="M72" s="114" t="s">
        <v>722</v>
      </c>
      <c r="N72" s="99" t="s">
        <v>722</v>
      </c>
      <c r="O72" s="99" t="s">
        <v>722</v>
      </c>
      <c r="P72" s="100" t="s">
        <v>722</v>
      </c>
    </row>
    <row r="73" spans="2:16">
      <c r="B73" s="7" t="str">
        <f t="shared" si="6"/>
        <v>Master  Point</v>
      </c>
      <c r="C73" s="1013">
        <f>IF($D$1=1,E73,IF($D$1=2,G73,IF($D$1=3,I73,IF($D$1=4,K73,0))))</f>
        <v>1419.3400000000001</v>
      </c>
      <c r="D73" s="1013">
        <f>IF($D$1=1,F73,IF($D$1=2,H73,IF($D$1=3,J73,IF($D$1=4,L73,0))))</f>
        <v>0</v>
      </c>
      <c r="E73" s="1004">
        <v>1419.3400000000001</v>
      </c>
      <c r="F73" s="1005"/>
      <c r="G73" s="1024">
        <v>55.12</v>
      </c>
      <c r="H73" s="1024"/>
      <c r="I73" s="1024">
        <v>212</v>
      </c>
      <c r="J73" s="1024"/>
      <c r="K73" s="1025">
        <v>12677.599999999999</v>
      </c>
      <c r="L73" s="1026"/>
      <c r="M73" s="114" t="s">
        <v>723</v>
      </c>
      <c r="N73" s="99" t="s">
        <v>723</v>
      </c>
      <c r="O73" s="99" t="s">
        <v>723</v>
      </c>
      <c r="P73" s="100" t="s">
        <v>723</v>
      </c>
    </row>
    <row r="74" spans="2:16">
      <c r="B74" s="7" t="str">
        <f>IF($D$1=1,M74,IF($D$1=2,N74,IF($D$1=3,O74,IF($D$1=4,P74,0))))</f>
        <v xml:space="preserve">Master  Ray </v>
      </c>
      <c r="C74" s="1006">
        <f t="shared" si="7"/>
        <v>1419.3400000000001</v>
      </c>
      <c r="D74" s="1006">
        <f t="shared" si="8"/>
        <v>0</v>
      </c>
      <c r="E74" s="1004">
        <v>1419.3400000000001</v>
      </c>
      <c r="F74" s="1005"/>
      <c r="G74" s="1009">
        <v>55.12</v>
      </c>
      <c r="H74" s="1009"/>
      <c r="I74" s="1009">
        <v>212</v>
      </c>
      <c r="J74" s="1009"/>
      <c r="K74" s="1014">
        <v>12677.599999999999</v>
      </c>
      <c r="L74" s="1015"/>
      <c r="M74" s="10" t="s">
        <v>724</v>
      </c>
      <c r="N74" s="99" t="s">
        <v>724</v>
      </c>
      <c r="O74" s="99" t="s">
        <v>724</v>
      </c>
      <c r="P74" s="100" t="s">
        <v>724</v>
      </c>
    </row>
    <row r="75" spans="2:16" ht="15.75" thickBot="1">
      <c r="B75" s="7" t="str">
        <f t="shared" si="6"/>
        <v>Master  Shine</v>
      </c>
      <c r="C75" s="1006">
        <f t="shared" si="7"/>
        <v>1419.3400000000001</v>
      </c>
      <c r="D75" s="1006">
        <f t="shared" si="8"/>
        <v>0</v>
      </c>
      <c r="E75" s="1004">
        <v>1419.3400000000001</v>
      </c>
      <c r="F75" s="1005"/>
      <c r="G75" s="1021">
        <v>55.12</v>
      </c>
      <c r="H75" s="1021"/>
      <c r="I75" s="1021">
        <v>212</v>
      </c>
      <c r="J75" s="1021"/>
      <c r="K75" s="1022">
        <v>12677.599999999999</v>
      </c>
      <c r="L75" s="1023"/>
      <c r="M75" s="244" t="s">
        <v>725</v>
      </c>
      <c r="N75" s="109" t="s">
        <v>725</v>
      </c>
      <c r="O75" s="109" t="s">
        <v>725</v>
      </c>
      <c r="P75" s="113" t="s">
        <v>725</v>
      </c>
    </row>
    <row r="76" spans="2:16">
      <c r="B76" s="7" t="str">
        <f t="shared" si="6"/>
        <v>Lacobel RAL 1013</v>
      </c>
      <c r="C76" s="1006">
        <f t="shared" si="7"/>
        <v>1812.8</v>
      </c>
      <c r="D76" s="1006">
        <f t="shared" si="8"/>
        <v>0</v>
      </c>
      <c r="E76" s="1004">
        <v>1812.8</v>
      </c>
      <c r="F76" s="1005"/>
      <c r="G76" s="1024">
        <v>70.400000000000006</v>
      </c>
      <c r="H76" s="1024"/>
      <c r="I76" s="1024">
        <v>270.76923076923077</v>
      </c>
      <c r="J76" s="1024"/>
      <c r="K76" s="1025">
        <v>16191.999999999998</v>
      </c>
      <c r="L76" s="1026"/>
      <c r="M76" s="9" t="s">
        <v>61</v>
      </c>
      <c r="N76" s="115" t="s">
        <v>61</v>
      </c>
      <c r="O76" s="115" t="s">
        <v>61</v>
      </c>
      <c r="P76" s="116" t="s">
        <v>61</v>
      </c>
    </row>
    <row r="77" spans="2:16">
      <c r="B77" s="7" t="str">
        <f t="shared" si="6"/>
        <v>Lacobel RAL 1014</v>
      </c>
      <c r="C77" s="1006">
        <f t="shared" si="7"/>
        <v>1493.5</v>
      </c>
      <c r="D77" s="1006">
        <f t="shared" si="8"/>
        <v>0</v>
      </c>
      <c r="E77" s="1004">
        <v>1493.5</v>
      </c>
      <c r="F77" s="1005"/>
      <c r="G77" s="1009">
        <v>58</v>
      </c>
      <c r="H77" s="1009"/>
      <c r="I77" s="1009">
        <v>223.07692307692307</v>
      </c>
      <c r="J77" s="1009"/>
      <c r="K77" s="1014">
        <v>13339.999999999998</v>
      </c>
      <c r="L77" s="1015"/>
      <c r="M77" s="10" t="s">
        <v>62</v>
      </c>
      <c r="N77" s="115" t="s">
        <v>62</v>
      </c>
      <c r="O77" s="115" t="s">
        <v>62</v>
      </c>
      <c r="P77" s="116" t="s">
        <v>62</v>
      </c>
    </row>
    <row r="78" spans="2:16">
      <c r="B78" s="7" t="str">
        <f t="shared" si="6"/>
        <v>Lacobel RAL 1015</v>
      </c>
      <c r="C78" s="1006">
        <f t="shared" si="7"/>
        <v>1493.5</v>
      </c>
      <c r="D78" s="1006">
        <f t="shared" si="8"/>
        <v>0</v>
      </c>
      <c r="E78" s="1004">
        <v>1493.5</v>
      </c>
      <c r="F78" s="1005"/>
      <c r="G78" s="1009">
        <v>58</v>
      </c>
      <c r="H78" s="1009"/>
      <c r="I78" s="1009">
        <v>223.07692307692307</v>
      </c>
      <c r="J78" s="1009"/>
      <c r="K78" s="1014">
        <v>13339.999999999998</v>
      </c>
      <c r="L78" s="1015"/>
      <c r="M78" s="10" t="s">
        <v>45</v>
      </c>
      <c r="N78" s="104" t="s">
        <v>45</v>
      </c>
      <c r="O78" s="104" t="s">
        <v>45</v>
      </c>
      <c r="P78" s="105" t="s">
        <v>45</v>
      </c>
    </row>
    <row r="79" spans="2:16" ht="15.75" thickBot="1">
      <c r="B79" s="7" t="str">
        <f t="shared" si="6"/>
        <v>Lacobel RAL 2001</v>
      </c>
      <c r="C79" s="1006">
        <f t="shared" si="7"/>
        <v>1493.5</v>
      </c>
      <c r="D79" s="1006">
        <f t="shared" si="8"/>
        <v>0</v>
      </c>
      <c r="E79" s="1004">
        <v>1493.5</v>
      </c>
      <c r="F79" s="1005"/>
      <c r="G79" s="1009">
        <v>58</v>
      </c>
      <c r="H79" s="1009"/>
      <c r="I79" s="1009">
        <v>223.07692307692307</v>
      </c>
      <c r="J79" s="1009"/>
      <c r="K79" s="1014">
        <v>13339.999999999998</v>
      </c>
      <c r="L79" s="1015"/>
      <c r="M79" s="10" t="s">
        <v>51</v>
      </c>
      <c r="N79" s="245" t="s">
        <v>51</v>
      </c>
      <c r="O79" s="245" t="s">
        <v>51</v>
      </c>
      <c r="P79" s="246" t="s">
        <v>51</v>
      </c>
    </row>
    <row r="80" spans="2:16">
      <c r="B80" s="7" t="str">
        <f t="shared" si="6"/>
        <v>Lacobel RAL 3004</v>
      </c>
      <c r="C80" s="1006">
        <f t="shared" si="7"/>
        <v>1493.5</v>
      </c>
      <c r="D80" s="1006">
        <f t="shared" si="8"/>
        <v>0</v>
      </c>
      <c r="E80" s="1004">
        <v>1493.5</v>
      </c>
      <c r="F80" s="1005"/>
      <c r="G80" s="1009">
        <v>58</v>
      </c>
      <c r="H80" s="1009"/>
      <c r="I80" s="1009">
        <v>223.07692307692307</v>
      </c>
      <c r="J80" s="1009"/>
      <c r="K80" s="1014">
        <v>13339.999999999998</v>
      </c>
      <c r="L80" s="1015"/>
      <c r="M80" s="10" t="s">
        <v>52</v>
      </c>
      <c r="N80" s="247" t="s">
        <v>52</v>
      </c>
      <c r="O80" s="247" t="s">
        <v>52</v>
      </c>
      <c r="P80" s="248" t="s">
        <v>52</v>
      </c>
    </row>
    <row r="81" spans="2:16">
      <c r="B81" s="7" t="str">
        <f t="shared" si="6"/>
        <v>Lacobel RAL 4006</v>
      </c>
      <c r="C81" s="1006">
        <f t="shared" si="7"/>
        <v>1493.5</v>
      </c>
      <c r="D81" s="1006">
        <f t="shared" si="8"/>
        <v>0</v>
      </c>
      <c r="E81" s="1004">
        <v>1493.5</v>
      </c>
      <c r="F81" s="1005"/>
      <c r="G81" s="1009">
        <v>58</v>
      </c>
      <c r="H81" s="1009"/>
      <c r="I81" s="1009">
        <v>223.07692307692307</v>
      </c>
      <c r="J81" s="1009"/>
      <c r="K81" s="1014">
        <v>13339.999999999998</v>
      </c>
      <c r="L81" s="1015"/>
      <c r="M81" s="10" t="s">
        <v>53</v>
      </c>
      <c r="N81" s="104" t="s">
        <v>53</v>
      </c>
      <c r="O81" s="104" t="s">
        <v>53</v>
      </c>
      <c r="P81" s="105" t="s">
        <v>53</v>
      </c>
    </row>
    <row r="82" spans="2:16">
      <c r="B82" s="7" t="str">
        <f t="shared" si="6"/>
        <v>Lacobel RAL 5002</v>
      </c>
      <c r="C82" s="1006">
        <f t="shared" si="7"/>
        <v>1493.5</v>
      </c>
      <c r="D82" s="1006">
        <f t="shared" si="8"/>
        <v>0</v>
      </c>
      <c r="E82" s="1004">
        <v>1493.5</v>
      </c>
      <c r="F82" s="1005"/>
      <c r="G82" s="1009">
        <v>58</v>
      </c>
      <c r="H82" s="1009"/>
      <c r="I82" s="1009">
        <v>223.07692307692307</v>
      </c>
      <c r="J82" s="1009"/>
      <c r="K82" s="1014">
        <v>13339.999999999998</v>
      </c>
      <c r="L82" s="1015"/>
      <c r="M82" s="10" t="s">
        <v>46</v>
      </c>
      <c r="N82" s="104" t="s">
        <v>46</v>
      </c>
      <c r="O82" s="104" t="s">
        <v>46</v>
      </c>
      <c r="P82" s="105" t="s">
        <v>46</v>
      </c>
    </row>
    <row r="83" spans="2:16">
      <c r="B83" s="7" t="str">
        <f t="shared" si="6"/>
        <v>Lacobel RAL 7035</v>
      </c>
      <c r="C83" s="1006">
        <f t="shared" si="7"/>
        <v>1493.5</v>
      </c>
      <c r="D83" s="1006">
        <f t="shared" si="8"/>
        <v>0</v>
      </c>
      <c r="E83" s="1004">
        <v>1493.5</v>
      </c>
      <c r="F83" s="1005"/>
      <c r="G83" s="1009">
        <v>58</v>
      </c>
      <c r="H83" s="1009"/>
      <c r="I83" s="1009">
        <v>223.07692307692307</v>
      </c>
      <c r="J83" s="1009"/>
      <c r="K83" s="1014">
        <v>13339.999999999998</v>
      </c>
      <c r="L83" s="1015"/>
      <c r="M83" s="10" t="s">
        <v>56</v>
      </c>
      <c r="N83" s="104" t="s">
        <v>56</v>
      </c>
      <c r="O83" s="104" t="s">
        <v>56</v>
      </c>
      <c r="P83" s="105" t="s">
        <v>56</v>
      </c>
    </row>
    <row r="84" spans="2:16">
      <c r="B84" s="7" t="str">
        <f t="shared" si="6"/>
        <v>Lacobel RAL 8017</v>
      </c>
      <c r="C84" s="1006">
        <f t="shared" si="7"/>
        <v>1493.5</v>
      </c>
      <c r="D84" s="1006">
        <f t="shared" si="8"/>
        <v>0</v>
      </c>
      <c r="E84" s="1004">
        <v>1493.5</v>
      </c>
      <c r="F84" s="1005"/>
      <c r="G84" s="1009">
        <v>58</v>
      </c>
      <c r="H84" s="1009"/>
      <c r="I84" s="1009">
        <v>223.07692307692307</v>
      </c>
      <c r="J84" s="1009"/>
      <c r="K84" s="1014">
        <v>13339.999999999998</v>
      </c>
      <c r="L84" s="1015"/>
      <c r="M84" s="10" t="s">
        <v>60</v>
      </c>
      <c r="N84" s="104" t="s">
        <v>60</v>
      </c>
      <c r="O84" s="104" t="s">
        <v>60</v>
      </c>
      <c r="P84" s="105" t="s">
        <v>60</v>
      </c>
    </row>
    <row r="85" spans="2:16">
      <c r="B85" s="7" t="str">
        <f t="shared" si="6"/>
        <v>Lacobel RAL 9003</v>
      </c>
      <c r="C85" s="1006">
        <f t="shared" si="7"/>
        <v>1812.8</v>
      </c>
      <c r="D85" s="1006">
        <f t="shared" si="8"/>
        <v>0</v>
      </c>
      <c r="E85" s="1004">
        <v>1812.8</v>
      </c>
      <c r="F85" s="1005"/>
      <c r="G85" s="1009">
        <v>70.400000000000006</v>
      </c>
      <c r="H85" s="1009"/>
      <c r="I85" s="1009">
        <v>270.76923076923077</v>
      </c>
      <c r="J85" s="1009"/>
      <c r="K85" s="1014">
        <v>16191.999999999998</v>
      </c>
      <c r="L85" s="1015"/>
      <c r="M85" s="10" t="s">
        <v>63</v>
      </c>
      <c r="N85" s="104" t="s">
        <v>63</v>
      </c>
      <c r="O85" s="104" t="s">
        <v>63</v>
      </c>
      <c r="P85" s="105" t="s">
        <v>63</v>
      </c>
    </row>
    <row r="86" spans="2:16">
      <c r="B86" s="7" t="str">
        <f t="shared" si="6"/>
        <v>Lacobel RAL 9005</v>
      </c>
      <c r="C86" s="1006">
        <f t="shared" si="7"/>
        <v>1493.5</v>
      </c>
      <c r="D86" s="1006">
        <f t="shared" si="8"/>
        <v>0</v>
      </c>
      <c r="E86" s="1004">
        <v>1493.5</v>
      </c>
      <c r="F86" s="1005"/>
      <c r="G86" s="1009">
        <v>58</v>
      </c>
      <c r="H86" s="1009"/>
      <c r="I86" s="1009">
        <v>223.07692307692307</v>
      </c>
      <c r="J86" s="1009"/>
      <c r="K86" s="1014">
        <v>13339.999999999998</v>
      </c>
      <c r="L86" s="1015"/>
      <c r="M86" s="10" t="s">
        <v>65</v>
      </c>
      <c r="N86" s="104" t="s">
        <v>65</v>
      </c>
      <c r="O86" s="104" t="s">
        <v>65</v>
      </c>
      <c r="P86" s="105" t="s">
        <v>65</v>
      </c>
    </row>
    <row r="87" spans="2:16">
      <c r="B87" s="7" t="str">
        <f t="shared" si="6"/>
        <v>Lacobel RAL 9006</v>
      </c>
      <c r="C87" s="1006">
        <f t="shared" si="7"/>
        <v>1493.5</v>
      </c>
      <c r="D87" s="1006">
        <f t="shared" si="8"/>
        <v>0</v>
      </c>
      <c r="E87" s="1004">
        <v>1493.5</v>
      </c>
      <c r="F87" s="1005"/>
      <c r="G87" s="1009">
        <v>58</v>
      </c>
      <c r="H87" s="1009"/>
      <c r="I87" s="1009">
        <v>223.07692307692307</v>
      </c>
      <c r="J87" s="1009"/>
      <c r="K87" s="1014">
        <v>13339.999999999998</v>
      </c>
      <c r="L87" s="1015"/>
      <c r="M87" s="10" t="s">
        <v>64</v>
      </c>
      <c r="N87" s="104" t="s">
        <v>64</v>
      </c>
      <c r="O87" s="104" t="s">
        <v>64</v>
      </c>
      <c r="P87" s="105" t="s">
        <v>64</v>
      </c>
    </row>
    <row r="88" spans="2:16">
      <c r="B88" s="7" t="str">
        <f t="shared" si="6"/>
        <v>Lacobel RAL 9007</v>
      </c>
      <c r="C88" s="1006">
        <f t="shared" si="7"/>
        <v>1812.8</v>
      </c>
      <c r="D88" s="1006">
        <f t="shared" si="8"/>
        <v>0</v>
      </c>
      <c r="E88" s="1004">
        <v>1812.8</v>
      </c>
      <c r="F88" s="1005"/>
      <c r="G88" s="1009">
        <v>70.400000000000006</v>
      </c>
      <c r="H88" s="1009"/>
      <c r="I88" s="1009">
        <v>270.76923076923077</v>
      </c>
      <c r="J88" s="1009"/>
      <c r="K88" s="1014">
        <v>16191.999999999998</v>
      </c>
      <c r="L88" s="1015"/>
      <c r="M88" s="10" t="s">
        <v>1006</v>
      </c>
      <c r="N88" s="104" t="s">
        <v>1006</v>
      </c>
      <c r="O88" s="104" t="s">
        <v>1006</v>
      </c>
      <c r="P88" s="105" t="s">
        <v>1006</v>
      </c>
    </row>
    <row r="89" spans="2:16">
      <c r="B89" s="7" t="str">
        <f t="shared" si="6"/>
        <v>Lacobel RAL 9010</v>
      </c>
      <c r="C89" s="1006">
        <f t="shared" si="7"/>
        <v>1493.5</v>
      </c>
      <c r="D89" s="1006">
        <f t="shared" si="8"/>
        <v>0</v>
      </c>
      <c r="E89" s="1004">
        <v>1493.5</v>
      </c>
      <c r="F89" s="1005"/>
      <c r="G89" s="1009">
        <v>58</v>
      </c>
      <c r="H89" s="1009"/>
      <c r="I89" s="1009">
        <v>223.07692307692307</v>
      </c>
      <c r="J89" s="1009"/>
      <c r="K89" s="1014">
        <v>13339.999999999998</v>
      </c>
      <c r="L89" s="1015"/>
      <c r="M89" s="10" t="s">
        <v>47</v>
      </c>
      <c r="N89" s="104" t="s">
        <v>47</v>
      </c>
      <c r="O89" s="104" t="s">
        <v>47</v>
      </c>
      <c r="P89" s="105" t="s">
        <v>47</v>
      </c>
    </row>
    <row r="90" spans="2:16">
      <c r="B90" s="7" t="str">
        <f t="shared" si="6"/>
        <v>Lacobel REF 0128</v>
      </c>
      <c r="C90" s="1006">
        <f t="shared" si="7"/>
        <v>1812.8</v>
      </c>
      <c r="D90" s="1006">
        <f t="shared" si="8"/>
        <v>0</v>
      </c>
      <c r="E90" s="1004">
        <v>1812.8</v>
      </c>
      <c r="F90" s="1005"/>
      <c r="G90" s="1009">
        <v>70.400000000000006</v>
      </c>
      <c r="H90" s="1009"/>
      <c r="I90" s="1009">
        <v>270.76923076923077</v>
      </c>
      <c r="J90" s="1009"/>
      <c r="K90" s="1014">
        <v>16191.999999999998</v>
      </c>
      <c r="L90" s="1015"/>
      <c r="M90" s="10" t="s">
        <v>54</v>
      </c>
      <c r="N90" s="104" t="s">
        <v>54</v>
      </c>
      <c r="O90" s="104" t="s">
        <v>54</v>
      </c>
      <c r="P90" s="105" t="s">
        <v>54</v>
      </c>
    </row>
    <row r="91" spans="2:16">
      <c r="B91" s="7" t="str">
        <f t="shared" si="6"/>
        <v>Lacobel REF 0327</v>
      </c>
      <c r="C91" s="1006">
        <f t="shared" si="7"/>
        <v>1812.8</v>
      </c>
      <c r="D91" s="1006">
        <f t="shared" si="8"/>
        <v>0</v>
      </c>
      <c r="E91" s="1004">
        <v>1812.8</v>
      </c>
      <c r="F91" s="1005"/>
      <c r="G91" s="1009">
        <v>70.400000000000006</v>
      </c>
      <c r="H91" s="1009"/>
      <c r="I91" s="1009">
        <v>270.76923076923077</v>
      </c>
      <c r="J91" s="1009"/>
      <c r="K91" s="1014">
        <v>16191.999999999998</v>
      </c>
      <c r="L91" s="1015"/>
      <c r="M91" s="10" t="s">
        <v>66</v>
      </c>
      <c r="N91" s="104" t="s">
        <v>66</v>
      </c>
      <c r="O91" s="104" t="s">
        <v>66</v>
      </c>
      <c r="P91" s="105" t="s">
        <v>66</v>
      </c>
    </row>
    <row r="92" spans="2:16">
      <c r="B92" s="7" t="str">
        <f t="shared" si="6"/>
        <v>Lacobel REF 0337</v>
      </c>
      <c r="C92" s="1006">
        <f t="shared" si="7"/>
        <v>1812.8</v>
      </c>
      <c r="D92" s="1006">
        <f t="shared" si="8"/>
        <v>0</v>
      </c>
      <c r="E92" s="1004">
        <v>1812.8</v>
      </c>
      <c r="F92" s="1005"/>
      <c r="G92" s="1009">
        <v>70.400000000000006</v>
      </c>
      <c r="H92" s="1009"/>
      <c r="I92" s="1009">
        <v>270.76923076923077</v>
      </c>
      <c r="J92" s="1009"/>
      <c r="K92" s="1014">
        <v>16191.999999999998</v>
      </c>
      <c r="L92" s="1015"/>
      <c r="M92" s="10" t="s">
        <v>57</v>
      </c>
      <c r="N92" s="104" t="s">
        <v>57</v>
      </c>
      <c r="O92" s="104" t="s">
        <v>57</v>
      </c>
      <c r="P92" s="105" t="s">
        <v>57</v>
      </c>
    </row>
    <row r="93" spans="2:16">
      <c r="B93" s="7" t="str">
        <f t="shared" si="6"/>
        <v>Lacobel REF 0627</v>
      </c>
      <c r="C93" s="1006">
        <f t="shared" si="7"/>
        <v>1812.8</v>
      </c>
      <c r="D93" s="1006">
        <f t="shared" si="8"/>
        <v>0</v>
      </c>
      <c r="E93" s="1004">
        <v>1812.8</v>
      </c>
      <c r="F93" s="1005"/>
      <c r="G93" s="1009">
        <v>70.400000000000006</v>
      </c>
      <c r="H93" s="1009"/>
      <c r="I93" s="1009">
        <v>270.76923076923077</v>
      </c>
      <c r="J93" s="1009"/>
      <c r="K93" s="1014">
        <v>16191.999999999998</v>
      </c>
      <c r="L93" s="1015"/>
      <c r="M93" s="10" t="s">
        <v>58</v>
      </c>
      <c r="N93" s="104" t="s">
        <v>58</v>
      </c>
      <c r="O93" s="104" t="s">
        <v>58</v>
      </c>
      <c r="P93" s="105" t="s">
        <v>58</v>
      </c>
    </row>
    <row r="94" spans="2:16">
      <c r="B94" s="7" t="str">
        <f t="shared" si="6"/>
        <v>Lacobel REF 0667</v>
      </c>
      <c r="C94" s="1006">
        <f t="shared" si="7"/>
        <v>1493.5</v>
      </c>
      <c r="D94" s="1006">
        <f t="shared" si="8"/>
        <v>0</v>
      </c>
      <c r="E94" s="1004">
        <v>1493.5</v>
      </c>
      <c r="F94" s="1005"/>
      <c r="G94" s="1009">
        <v>58</v>
      </c>
      <c r="H94" s="1009"/>
      <c r="I94" s="1009">
        <v>223.07692307692307</v>
      </c>
      <c r="J94" s="1009"/>
      <c r="K94" s="1014">
        <v>13339.999999999998</v>
      </c>
      <c r="L94" s="1015"/>
      <c r="M94" s="10" t="s">
        <v>48</v>
      </c>
      <c r="N94" s="104" t="s">
        <v>48</v>
      </c>
      <c r="O94" s="104" t="s">
        <v>48</v>
      </c>
      <c r="P94" s="105" t="s">
        <v>48</v>
      </c>
    </row>
    <row r="95" spans="2:16">
      <c r="B95" s="7" t="str">
        <f t="shared" si="6"/>
        <v>Lacobel REF 1164</v>
      </c>
      <c r="C95" s="1006">
        <f t="shared" si="7"/>
        <v>1493.5</v>
      </c>
      <c r="D95" s="1006">
        <f t="shared" si="8"/>
        <v>0</v>
      </c>
      <c r="E95" s="1004">
        <v>1493.5</v>
      </c>
      <c r="F95" s="1005"/>
      <c r="G95" s="1009">
        <v>58</v>
      </c>
      <c r="H95" s="1009"/>
      <c r="I95" s="1009">
        <v>223.07692307692307</v>
      </c>
      <c r="J95" s="1009"/>
      <c r="K95" s="1014">
        <v>13339.999999999998</v>
      </c>
      <c r="L95" s="1015"/>
      <c r="M95" s="10" t="s">
        <v>49</v>
      </c>
      <c r="N95" s="104" t="s">
        <v>49</v>
      </c>
      <c r="O95" s="104" t="s">
        <v>49</v>
      </c>
      <c r="P95" s="105" t="s">
        <v>49</v>
      </c>
    </row>
    <row r="96" spans="2:16">
      <c r="B96" s="7" t="str">
        <f t="shared" si="6"/>
        <v>Lacobel REF 1236</v>
      </c>
      <c r="C96" s="1006">
        <f t="shared" si="7"/>
        <v>1493.5</v>
      </c>
      <c r="D96" s="1006">
        <f t="shared" si="8"/>
        <v>0</v>
      </c>
      <c r="E96" s="1004">
        <v>1493.5</v>
      </c>
      <c r="F96" s="1005"/>
      <c r="G96" s="1009">
        <v>58</v>
      </c>
      <c r="H96" s="1009"/>
      <c r="I96" s="1009">
        <v>223.07692307692307</v>
      </c>
      <c r="J96" s="1009"/>
      <c r="K96" s="1014">
        <v>13339.999999999998</v>
      </c>
      <c r="L96" s="1015"/>
      <c r="M96" s="10" t="s">
        <v>55</v>
      </c>
      <c r="N96" s="104" t="s">
        <v>55</v>
      </c>
      <c r="O96" s="104" t="s">
        <v>55</v>
      </c>
      <c r="P96" s="105" t="s">
        <v>55</v>
      </c>
    </row>
    <row r="97" spans="2:16">
      <c r="B97" s="7" t="str">
        <f t="shared" si="6"/>
        <v>Lacobel REF 1435</v>
      </c>
      <c r="C97" s="1006">
        <f t="shared" si="7"/>
        <v>1493.5</v>
      </c>
      <c r="D97" s="1006">
        <f t="shared" si="8"/>
        <v>0</v>
      </c>
      <c r="E97" s="1004">
        <v>1493.5</v>
      </c>
      <c r="F97" s="1005"/>
      <c r="G97" s="1009">
        <v>58</v>
      </c>
      <c r="H97" s="1009"/>
      <c r="I97" s="1009">
        <v>223.07692307692307</v>
      </c>
      <c r="J97" s="1009"/>
      <c r="K97" s="1014">
        <v>13339.999999999998</v>
      </c>
      <c r="L97" s="1015"/>
      <c r="M97" s="10" t="s">
        <v>50</v>
      </c>
      <c r="N97" s="104" t="s">
        <v>50</v>
      </c>
      <c r="O97" s="104" t="s">
        <v>50</v>
      </c>
      <c r="P97" s="105" t="s">
        <v>50</v>
      </c>
    </row>
    <row r="98" spans="2:16">
      <c r="B98" s="7" t="str">
        <f t="shared" si="6"/>
        <v>Lacobel REF 1586</v>
      </c>
      <c r="C98" s="1006">
        <f t="shared" si="7"/>
        <v>1493.5</v>
      </c>
      <c r="D98" s="1006">
        <f t="shared" si="8"/>
        <v>0</v>
      </c>
      <c r="E98" s="1004">
        <v>1493.5</v>
      </c>
      <c r="F98" s="1005"/>
      <c r="G98" s="1009">
        <v>58</v>
      </c>
      <c r="H98" s="1009"/>
      <c r="I98" s="1009">
        <v>223.07692307692307</v>
      </c>
      <c r="J98" s="1009"/>
      <c r="K98" s="1014">
        <v>13339.999999999998</v>
      </c>
      <c r="L98" s="1015"/>
      <c r="M98" s="10" t="s">
        <v>67</v>
      </c>
      <c r="N98" s="104" t="s">
        <v>67</v>
      </c>
      <c r="O98" s="104" t="s">
        <v>67</v>
      </c>
      <c r="P98" s="105" t="s">
        <v>67</v>
      </c>
    </row>
    <row r="99" spans="2:16">
      <c r="B99" s="7" t="str">
        <f t="shared" si="6"/>
        <v>Lacobel REF 1603</v>
      </c>
      <c r="C99" s="1006">
        <f t="shared" si="7"/>
        <v>1493.5</v>
      </c>
      <c r="D99" s="1006">
        <f t="shared" si="8"/>
        <v>0</v>
      </c>
      <c r="E99" s="1004">
        <v>1493.5</v>
      </c>
      <c r="F99" s="1005"/>
      <c r="G99" s="1009">
        <v>58</v>
      </c>
      <c r="H99" s="1009"/>
      <c r="I99" s="1009">
        <v>223.07692307692307</v>
      </c>
      <c r="J99" s="1009"/>
      <c r="K99" s="1014">
        <v>13339.999999999998</v>
      </c>
      <c r="L99" s="1015"/>
      <c r="M99" s="10" t="s">
        <v>44</v>
      </c>
      <c r="N99" s="104" t="s">
        <v>44</v>
      </c>
      <c r="O99" s="104" t="s">
        <v>44</v>
      </c>
      <c r="P99" s="105" t="s">
        <v>44</v>
      </c>
    </row>
    <row r="100" spans="2:16">
      <c r="B100" s="7" t="str">
        <f t="shared" si="6"/>
        <v>Lacobel REF 1604</v>
      </c>
      <c r="C100" s="1006">
        <f t="shared" si="7"/>
        <v>1493.5</v>
      </c>
      <c r="D100" s="1006">
        <f t="shared" si="8"/>
        <v>0</v>
      </c>
      <c r="E100" s="1004">
        <v>1493.5</v>
      </c>
      <c r="F100" s="1005"/>
      <c r="G100" s="1009">
        <v>58</v>
      </c>
      <c r="H100" s="1009"/>
      <c r="I100" s="1009">
        <v>223.07692307692307</v>
      </c>
      <c r="J100" s="1009"/>
      <c r="K100" s="1014">
        <v>13339.999999999998</v>
      </c>
      <c r="L100" s="1015"/>
      <c r="M100" s="10" t="s">
        <v>59</v>
      </c>
      <c r="N100" s="104" t="s">
        <v>59</v>
      </c>
      <c r="O100" s="104" t="s">
        <v>59</v>
      </c>
      <c r="P100" s="105" t="s">
        <v>59</v>
      </c>
    </row>
    <row r="101" spans="2:16">
      <c r="B101" s="7" t="str">
        <f t="shared" si="6"/>
        <v>Matelac RAL 2001</v>
      </c>
      <c r="C101" s="1006">
        <f t="shared" si="7"/>
        <v>2502.9</v>
      </c>
      <c r="D101" s="1006">
        <f t="shared" si="8"/>
        <v>0</v>
      </c>
      <c r="E101" s="1004">
        <v>2502.9</v>
      </c>
      <c r="F101" s="1005"/>
      <c r="G101" s="1009">
        <v>97.2</v>
      </c>
      <c r="H101" s="1009"/>
      <c r="I101" s="1009">
        <v>373.84615384615387</v>
      </c>
      <c r="J101" s="1009"/>
      <c r="K101" s="1014">
        <v>22356</v>
      </c>
      <c r="L101" s="1015"/>
      <c r="M101" s="10" t="s">
        <v>74</v>
      </c>
      <c r="N101" s="104" t="s">
        <v>74</v>
      </c>
      <c r="O101" s="104" t="s">
        <v>74</v>
      </c>
      <c r="P101" s="105" t="s">
        <v>74</v>
      </c>
    </row>
    <row r="102" spans="2:16">
      <c r="B102" s="7" t="str">
        <f t="shared" si="6"/>
        <v>Matelac RAL 3004</v>
      </c>
      <c r="C102" s="1006">
        <f t="shared" si="7"/>
        <v>2502.9</v>
      </c>
      <c r="D102" s="1006">
        <f t="shared" si="8"/>
        <v>0</v>
      </c>
      <c r="E102" s="1004">
        <v>2502.9</v>
      </c>
      <c r="F102" s="1005"/>
      <c r="G102" s="1009">
        <v>97.2</v>
      </c>
      <c r="H102" s="1009"/>
      <c r="I102" s="1009">
        <v>373.84615384615387</v>
      </c>
      <c r="J102" s="1009"/>
      <c r="K102" s="1014">
        <v>22356</v>
      </c>
      <c r="L102" s="1015"/>
      <c r="M102" s="10" t="s">
        <v>76</v>
      </c>
      <c r="N102" s="104" t="s">
        <v>76</v>
      </c>
      <c r="O102" s="104" t="s">
        <v>76</v>
      </c>
      <c r="P102" s="105" t="s">
        <v>76</v>
      </c>
    </row>
    <row r="103" spans="2:16">
      <c r="B103" s="7" t="str">
        <f t="shared" si="6"/>
        <v>Matelac RAL 7021</v>
      </c>
      <c r="C103" s="1007">
        <f t="shared" si="7"/>
        <v>2502.9</v>
      </c>
      <c r="D103" s="1008">
        <f t="shared" si="8"/>
        <v>0</v>
      </c>
      <c r="E103" s="1004">
        <v>2502.9</v>
      </c>
      <c r="F103" s="1005"/>
      <c r="G103" s="1009">
        <v>97.2</v>
      </c>
      <c r="H103" s="1009"/>
      <c r="I103" s="1009">
        <v>373.84615384615387</v>
      </c>
      <c r="J103" s="1009"/>
      <c r="K103" s="1014">
        <v>22356</v>
      </c>
      <c r="L103" s="1015"/>
      <c r="M103" s="10" t="s">
        <v>72</v>
      </c>
      <c r="N103" s="104" t="s">
        <v>72</v>
      </c>
      <c r="O103" s="104" t="s">
        <v>72</v>
      </c>
      <c r="P103" s="105" t="s">
        <v>72</v>
      </c>
    </row>
    <row r="104" spans="2:16">
      <c r="B104" s="7" t="str">
        <f t="shared" si="6"/>
        <v>Matelac RAL 9003</v>
      </c>
      <c r="C104" s="1007">
        <f t="shared" si="7"/>
        <v>2914.9</v>
      </c>
      <c r="D104" s="1008">
        <f t="shared" si="8"/>
        <v>0</v>
      </c>
      <c r="E104" s="1004">
        <v>2914.9</v>
      </c>
      <c r="F104" s="1005"/>
      <c r="G104" s="1009">
        <v>113.2</v>
      </c>
      <c r="H104" s="1009"/>
      <c r="I104" s="1009">
        <v>435.38461538461536</v>
      </c>
      <c r="J104" s="1009"/>
      <c r="K104" s="1014">
        <v>26035.999999999996</v>
      </c>
      <c r="L104" s="1015"/>
      <c r="M104" s="10" t="s">
        <v>69</v>
      </c>
      <c r="N104" s="104" t="s">
        <v>69</v>
      </c>
      <c r="O104" s="104" t="s">
        <v>69</v>
      </c>
      <c r="P104" s="105" t="s">
        <v>69</v>
      </c>
    </row>
    <row r="105" spans="2:16">
      <c r="B105" s="7" t="str">
        <f t="shared" si="6"/>
        <v>Matelac RAL 9005</v>
      </c>
      <c r="C105" s="1007">
        <f t="shared" si="7"/>
        <v>2502.9</v>
      </c>
      <c r="D105" s="1008">
        <f t="shared" si="8"/>
        <v>0</v>
      </c>
      <c r="E105" s="1004">
        <v>2502.9</v>
      </c>
      <c r="F105" s="1005"/>
      <c r="G105" s="1009">
        <v>97.2</v>
      </c>
      <c r="H105" s="1009"/>
      <c r="I105" s="1009">
        <v>373.84615384615387</v>
      </c>
      <c r="J105" s="1009"/>
      <c r="K105" s="1014">
        <v>22356</v>
      </c>
      <c r="L105" s="1015"/>
      <c r="M105" s="10" t="s">
        <v>73</v>
      </c>
      <c r="N105" s="104" t="s">
        <v>73</v>
      </c>
      <c r="O105" s="104" t="s">
        <v>73</v>
      </c>
      <c r="P105" s="105" t="s">
        <v>73</v>
      </c>
    </row>
    <row r="106" spans="2:16">
      <c r="B106" s="7" t="str">
        <f t="shared" si="6"/>
        <v>Matelac RAL 9006</v>
      </c>
      <c r="C106" s="1007">
        <f t="shared" si="7"/>
        <v>2502.9</v>
      </c>
      <c r="D106" s="1008">
        <f t="shared" si="8"/>
        <v>0</v>
      </c>
      <c r="E106" s="1004">
        <v>2502.9</v>
      </c>
      <c r="F106" s="1005"/>
      <c r="G106" s="1009">
        <v>97.2</v>
      </c>
      <c r="H106" s="1009"/>
      <c r="I106" s="1009">
        <v>373.84615384615387</v>
      </c>
      <c r="J106" s="1009"/>
      <c r="K106" s="1014">
        <v>22356</v>
      </c>
      <c r="L106" s="1015"/>
      <c r="M106" s="10" t="s">
        <v>71</v>
      </c>
      <c r="N106" s="104" t="s">
        <v>71</v>
      </c>
      <c r="O106" s="104" t="s">
        <v>71</v>
      </c>
      <c r="P106" s="105" t="s">
        <v>71</v>
      </c>
    </row>
    <row r="107" spans="2:16">
      <c r="B107" s="7" t="str">
        <f t="shared" si="6"/>
        <v>Matelac RAL 9010</v>
      </c>
      <c r="C107" s="1007">
        <f t="shared" si="7"/>
        <v>2502.9</v>
      </c>
      <c r="D107" s="1008">
        <f t="shared" si="8"/>
        <v>0</v>
      </c>
      <c r="E107" s="1004">
        <v>2502.9</v>
      </c>
      <c r="F107" s="1005"/>
      <c r="G107" s="1009">
        <v>97.2</v>
      </c>
      <c r="H107" s="1009"/>
      <c r="I107" s="1009">
        <v>373.84615384615387</v>
      </c>
      <c r="J107" s="1009"/>
      <c r="K107" s="1014">
        <v>22356</v>
      </c>
      <c r="L107" s="1015"/>
      <c r="M107" s="10" t="s">
        <v>70</v>
      </c>
      <c r="N107" s="104" t="s">
        <v>70</v>
      </c>
      <c r="O107" s="104" t="s">
        <v>70</v>
      </c>
      <c r="P107" s="105" t="s">
        <v>70</v>
      </c>
    </row>
    <row r="108" spans="2:16">
      <c r="B108" s="7" t="str">
        <f t="shared" si="6"/>
        <v>Matelac REF 1435</v>
      </c>
      <c r="C108" s="1007">
        <f t="shared" ref="C108:D112" si="9">IF($D$1=1,E108,IF($D$1=2,G108,IF($D$1=3,I108,IF($D$1=4,K108,0))))</f>
        <v>2502.9</v>
      </c>
      <c r="D108" s="1008">
        <f t="shared" si="9"/>
        <v>0</v>
      </c>
      <c r="E108" s="1004">
        <v>2502.9</v>
      </c>
      <c r="F108" s="1005"/>
      <c r="G108" s="1010">
        <v>97.2</v>
      </c>
      <c r="H108" s="1010"/>
      <c r="I108" s="1010">
        <v>373.84615384615387</v>
      </c>
      <c r="J108" s="1010"/>
      <c r="K108" s="1001">
        <v>22356</v>
      </c>
      <c r="L108" s="1002"/>
      <c r="M108" s="11" t="s">
        <v>68</v>
      </c>
      <c r="N108" s="104" t="s">
        <v>68</v>
      </c>
      <c r="O108" s="104" t="s">
        <v>68</v>
      </c>
      <c r="P108" s="105" t="s">
        <v>68</v>
      </c>
    </row>
    <row r="109" spans="2:16">
      <c r="B109" s="7" t="str">
        <f t="shared" si="6"/>
        <v>Matelac REF 1586</v>
      </c>
      <c r="C109" s="1007">
        <f t="shared" si="9"/>
        <v>2502.9</v>
      </c>
      <c r="D109" s="1008">
        <f t="shared" si="9"/>
        <v>0</v>
      </c>
      <c r="E109" s="1004">
        <v>2502.9</v>
      </c>
      <c r="F109" s="1005"/>
      <c r="G109" s="1009">
        <v>97.2</v>
      </c>
      <c r="H109" s="1009"/>
      <c r="I109" s="1009">
        <v>373.84615384615387</v>
      </c>
      <c r="J109" s="1009"/>
      <c r="K109" s="1014">
        <v>22356</v>
      </c>
      <c r="L109" s="1015"/>
      <c r="M109" s="13" t="s">
        <v>75</v>
      </c>
      <c r="N109" s="104" t="s">
        <v>75</v>
      </c>
      <c r="O109" s="104" t="s">
        <v>75</v>
      </c>
      <c r="P109" s="105" t="s">
        <v>75</v>
      </c>
    </row>
    <row r="110" spans="2:16">
      <c r="B110" s="7" t="str">
        <f t="shared" si="6"/>
        <v>Matelac zrcadlo bronz</v>
      </c>
      <c r="C110" s="1007">
        <f t="shared" si="9"/>
        <v>2708.9</v>
      </c>
      <c r="D110" s="1008">
        <f t="shared" si="9"/>
        <v>0</v>
      </c>
      <c r="E110" s="1004">
        <v>2708.9</v>
      </c>
      <c r="F110" s="1005"/>
      <c r="G110" s="1010">
        <v>105.2</v>
      </c>
      <c r="H110" s="1010"/>
      <c r="I110" s="1010">
        <v>404.61538461538464</v>
      </c>
      <c r="J110" s="1010"/>
      <c r="K110" s="1001">
        <v>24195.999999999996</v>
      </c>
      <c r="L110" s="1002"/>
      <c r="M110" s="13" t="s">
        <v>82</v>
      </c>
      <c r="N110" s="104" t="s">
        <v>542</v>
      </c>
      <c r="O110" s="104" t="s">
        <v>539</v>
      </c>
      <c r="P110" s="105" t="s">
        <v>620</v>
      </c>
    </row>
    <row r="111" spans="2:16">
      <c r="B111" s="7" t="str">
        <f t="shared" si="6"/>
        <v>Matelac zrcadlo grafit</v>
      </c>
      <c r="C111" s="1007">
        <f t="shared" si="9"/>
        <v>3038.5</v>
      </c>
      <c r="D111" s="1008">
        <f t="shared" si="9"/>
        <v>0</v>
      </c>
      <c r="E111" s="1004">
        <v>3038.5</v>
      </c>
      <c r="F111" s="1005"/>
      <c r="G111" s="1009">
        <v>118</v>
      </c>
      <c r="H111" s="1009"/>
      <c r="I111" s="1009">
        <v>453.84615384615387</v>
      </c>
      <c r="J111" s="1009"/>
      <c r="K111" s="1014">
        <v>27139.999999999996</v>
      </c>
      <c r="L111" s="1015"/>
      <c r="M111" s="13" t="s">
        <v>84</v>
      </c>
      <c r="N111" s="104" t="s">
        <v>544</v>
      </c>
      <c r="O111" s="104" t="s">
        <v>541</v>
      </c>
      <c r="P111" s="105" t="s">
        <v>622</v>
      </c>
    </row>
    <row r="112" spans="2:16">
      <c r="B112" s="7" t="str">
        <f t="shared" si="6"/>
        <v>Matelac zrcadlo stříbr.</v>
      </c>
      <c r="C112" s="1007">
        <f t="shared" si="9"/>
        <v>2708.9</v>
      </c>
      <c r="D112" s="1008">
        <f t="shared" si="9"/>
        <v>0</v>
      </c>
      <c r="E112" s="1004">
        <v>2708.9</v>
      </c>
      <c r="F112" s="1005"/>
      <c r="G112" s="1010">
        <v>105.2</v>
      </c>
      <c r="H112" s="1010"/>
      <c r="I112" s="1010">
        <v>404.61538461538464</v>
      </c>
      <c r="J112" s="1010"/>
      <c r="K112" s="1001">
        <v>24195.999999999996</v>
      </c>
      <c r="L112" s="1002"/>
      <c r="M112" s="13" t="s">
        <v>83</v>
      </c>
      <c r="N112" s="106" t="s">
        <v>1663</v>
      </c>
      <c r="O112" s="106" t="s">
        <v>1664</v>
      </c>
      <c r="P112" s="107" t="s">
        <v>1665</v>
      </c>
    </row>
    <row r="113" spans="2:16">
      <c r="B113" s="235"/>
      <c r="C113" s="236"/>
      <c r="D113" s="237"/>
      <c r="E113" s="238"/>
      <c r="F113" s="238"/>
      <c r="G113" s="239"/>
      <c r="H113" s="239"/>
      <c r="I113" s="239"/>
      <c r="J113" s="239"/>
      <c r="K113" s="240"/>
      <c r="L113" s="241"/>
      <c r="M113" s="235"/>
      <c r="N113" s="104"/>
      <c r="O113" s="104"/>
      <c r="P113" s="105"/>
    </row>
    <row r="114" spans="2:16">
      <c r="B114" s="235"/>
      <c r="C114" s="236"/>
      <c r="D114" s="237"/>
      <c r="E114" s="238"/>
      <c r="F114" s="238"/>
      <c r="G114" s="239"/>
      <c r="H114" s="239"/>
      <c r="I114" s="239"/>
      <c r="J114" s="239"/>
      <c r="K114" s="240"/>
      <c r="L114" s="241"/>
      <c r="M114" s="235"/>
      <c r="N114" s="104"/>
      <c r="O114" s="104"/>
      <c r="P114" s="105"/>
    </row>
    <row r="115" spans="2:16">
      <c r="B115" s="235"/>
      <c r="C115" s="236"/>
      <c r="D115" s="237"/>
      <c r="E115" s="238"/>
      <c r="F115" s="238"/>
      <c r="G115" s="239"/>
      <c r="H115" s="239"/>
      <c r="I115" s="239"/>
      <c r="J115" s="239"/>
      <c r="K115" s="240"/>
      <c r="L115" s="241"/>
      <c r="M115" s="235"/>
      <c r="N115" s="104"/>
      <c r="O115" s="104"/>
      <c r="P115" s="105"/>
    </row>
    <row r="116" spans="2:16">
      <c r="B116" s="235"/>
      <c r="C116" s="236"/>
      <c r="D116" s="237"/>
      <c r="E116" s="238"/>
      <c r="F116" s="238"/>
      <c r="G116" s="239"/>
      <c r="H116" s="239"/>
      <c r="I116" s="239"/>
      <c r="J116" s="239"/>
      <c r="K116" s="240"/>
      <c r="L116" s="241"/>
      <c r="M116" s="235"/>
      <c r="N116" s="106"/>
      <c r="O116" s="106"/>
      <c r="P116" s="107"/>
    </row>
    <row r="117" spans="2:16">
      <c r="B117" s="235"/>
      <c r="C117" s="236"/>
      <c r="D117" s="237"/>
      <c r="E117" s="238"/>
      <c r="F117" s="238"/>
      <c r="G117" s="239"/>
      <c r="H117" s="239"/>
      <c r="I117" s="239"/>
      <c r="J117" s="239"/>
      <c r="K117" s="240"/>
      <c r="L117" s="241"/>
      <c r="M117" s="235"/>
      <c r="N117" s="242"/>
      <c r="O117" s="242"/>
      <c r="P117" s="243"/>
    </row>
    <row r="118" spans="2:16">
      <c r="B118" s="11"/>
      <c r="C118" s="1003"/>
      <c r="D118" s="1003"/>
      <c r="E118" s="1003"/>
      <c r="F118" s="1003"/>
      <c r="G118" s="1010"/>
      <c r="H118" s="1010"/>
      <c r="I118" s="1010"/>
      <c r="J118" s="1010"/>
      <c r="K118" s="1001"/>
      <c r="L118" s="1002"/>
      <c r="M118" s="11"/>
      <c r="N118" s="106"/>
      <c r="O118" s="106"/>
      <c r="P118" s="107"/>
    </row>
    <row r="119" spans="2:16">
      <c r="B119" s="13"/>
      <c r="C119" s="14"/>
      <c r="D119" s="14"/>
      <c r="E119" s="14"/>
      <c r="F119" s="14"/>
      <c r="G119" s="15"/>
      <c r="H119" s="15"/>
      <c r="I119" s="15"/>
      <c r="J119" s="15"/>
      <c r="K119" s="16"/>
      <c r="L119" s="16"/>
      <c r="M119" s="13"/>
    </row>
    <row r="120" spans="2:16">
      <c r="B120" s="13" t="s">
        <v>107</v>
      </c>
      <c r="C120" s="14"/>
      <c r="D120" s="14"/>
      <c r="E120" s="14"/>
      <c r="F120" s="14"/>
      <c r="G120" s="15"/>
      <c r="H120" s="15"/>
      <c r="I120" s="15"/>
      <c r="J120" s="15"/>
      <c r="K120" s="16"/>
      <c r="L120" s="16"/>
      <c r="M120" s="13"/>
    </row>
    <row r="121" spans="2:16">
      <c r="B121" s="1" t="s">
        <v>100</v>
      </c>
      <c r="C121" s="1003">
        <f t="shared" ref="C121:D124" si="10">IF($D$1=1,E121,IF($D$1=2,G121,IF($D$1=3,I121,IF($D$1=4,K121,0))))</f>
        <v>30</v>
      </c>
      <c r="D121" s="1003">
        <f t="shared" si="10"/>
        <v>0</v>
      </c>
      <c r="E121" s="788">
        <v>30</v>
      </c>
      <c r="F121" s="788"/>
      <c r="G121" s="1010">
        <f>E121/$H$3</f>
        <v>1.2</v>
      </c>
      <c r="H121" s="1010"/>
      <c r="I121" s="1010">
        <f>E121/$J$3</f>
        <v>4.615384615384615</v>
      </c>
      <c r="J121" s="1010"/>
      <c r="K121" s="1001">
        <f>E121*$L$3</f>
        <v>276</v>
      </c>
      <c r="L121" s="1002"/>
      <c r="M121" s="13"/>
    </row>
    <row r="122" spans="2:16">
      <c r="B122" s="1" t="s">
        <v>101</v>
      </c>
      <c r="C122" s="1003">
        <f t="shared" si="10"/>
        <v>30</v>
      </c>
      <c r="D122" s="1003">
        <f t="shared" si="10"/>
        <v>0</v>
      </c>
      <c r="E122" s="788">
        <v>30</v>
      </c>
      <c r="F122" s="788"/>
      <c r="G122" s="1010">
        <f>E122/$H$3</f>
        <v>1.2</v>
      </c>
      <c r="H122" s="1010"/>
      <c r="I122" s="1010">
        <f>E122/$J$3</f>
        <v>4.615384615384615</v>
      </c>
      <c r="J122" s="1010"/>
      <c r="K122" s="1001">
        <f>E122*$L$3</f>
        <v>276</v>
      </c>
      <c r="L122" s="1002"/>
      <c r="M122" s="13"/>
    </row>
    <row r="123" spans="2:16">
      <c r="B123" s="1" t="s">
        <v>102</v>
      </c>
      <c r="C123" s="1003">
        <f t="shared" si="10"/>
        <v>30</v>
      </c>
      <c r="D123" s="1003">
        <f t="shared" si="10"/>
        <v>0</v>
      </c>
      <c r="E123" s="788">
        <v>30</v>
      </c>
      <c r="F123" s="788"/>
      <c r="G123" s="1010">
        <f>E123/$H$3</f>
        <v>1.2</v>
      </c>
      <c r="H123" s="1010"/>
      <c r="I123" s="1010">
        <f>E123/$J$3</f>
        <v>4.615384615384615</v>
      </c>
      <c r="J123" s="1010"/>
      <c r="K123" s="1001">
        <f>E123*$L$3</f>
        <v>276</v>
      </c>
      <c r="L123" s="1002"/>
      <c r="M123" s="13"/>
    </row>
    <row r="124" spans="2:16">
      <c r="B124" s="1" t="s">
        <v>108</v>
      </c>
      <c r="C124" s="1003">
        <f t="shared" si="10"/>
        <v>30</v>
      </c>
      <c r="D124" s="1003">
        <f t="shared" si="10"/>
        <v>0</v>
      </c>
      <c r="E124" s="788">
        <v>30</v>
      </c>
      <c r="F124" s="788"/>
      <c r="G124" s="1010">
        <f>E124/$H$3</f>
        <v>1.2</v>
      </c>
      <c r="H124" s="1010"/>
      <c r="I124" s="1010">
        <f>E124/$J$3</f>
        <v>4.615384615384615</v>
      </c>
      <c r="J124" s="1010"/>
      <c r="K124" s="1001">
        <f>E124*$L$3</f>
        <v>276</v>
      </c>
      <c r="L124" s="1002"/>
      <c r="M124" s="13"/>
    </row>
    <row r="125" spans="2:16">
      <c r="B125" s="1"/>
      <c r="C125" s="14"/>
      <c r="D125" s="14"/>
      <c r="E125" s="14"/>
      <c r="F125" s="14"/>
      <c r="G125" s="15"/>
      <c r="H125" s="15"/>
      <c r="I125" s="15"/>
      <c r="J125" s="15"/>
      <c r="K125" s="16"/>
      <c r="L125" s="16"/>
      <c r="M125" s="13"/>
    </row>
    <row r="126" spans="2:16">
      <c r="B126" s="1"/>
      <c r="C126" s="14"/>
      <c r="D126" s="14"/>
      <c r="E126" s="14"/>
      <c r="F126" s="14"/>
      <c r="G126" s="15"/>
      <c r="H126" s="15"/>
      <c r="I126" s="15"/>
      <c r="J126" s="15"/>
      <c r="K126" s="16"/>
      <c r="L126" s="16"/>
      <c r="M126" s="13"/>
    </row>
    <row r="127" spans="2:16">
      <c r="B127" s="1"/>
      <c r="C127" s="14"/>
      <c r="D127" s="14"/>
      <c r="E127" s="14"/>
      <c r="F127" s="14"/>
      <c r="G127" s="15"/>
      <c r="H127" s="15"/>
      <c r="I127" s="15"/>
      <c r="J127" s="15"/>
      <c r="K127" s="16"/>
      <c r="L127" s="16"/>
    </row>
    <row r="129" spans="2:16">
      <c r="B129" s="132" t="str">
        <f t="shared" ref="B129:B160" si="11">IF($D$1=1,M129,IF($D$1=2,N129,IF($D$1=3,O129,IF($D$1=4,P129,0))))</f>
        <v>rámeček</v>
      </c>
      <c r="C129">
        <v>1</v>
      </c>
      <c r="M129" s="134" t="s">
        <v>377</v>
      </c>
      <c r="N129" s="72" t="s">
        <v>414</v>
      </c>
      <c r="O129" s="72" t="s">
        <v>474</v>
      </c>
      <c r="P129" s="72" t="s">
        <v>639</v>
      </c>
    </row>
    <row r="130" spans="2:16">
      <c r="B130" s="132" t="str">
        <f t="shared" si="11"/>
        <v xml:space="preserve">Standardní vrtání otvoru pro misku závěsu je 3 mm od hrany. </v>
      </c>
      <c r="C130">
        <v>2</v>
      </c>
      <c r="M130" s="134" t="s">
        <v>809</v>
      </c>
      <c r="N130" s="72" t="s">
        <v>853</v>
      </c>
      <c r="O130" s="72" t="s">
        <v>1669</v>
      </c>
      <c r="P130" s="72" t="s">
        <v>866</v>
      </c>
    </row>
    <row r="131" spans="2:16">
      <c r="B131" s="132" t="str">
        <f t="shared" si="11"/>
        <v>Uvedené ceny jsou bez DPH a nezahrnují cenu požadovaného kování!</v>
      </c>
      <c r="C131">
        <v>3</v>
      </c>
      <c r="M131" s="134" t="s">
        <v>746</v>
      </c>
      <c r="N131" s="72" t="s">
        <v>854</v>
      </c>
      <c r="O131" s="72" t="s">
        <v>1670</v>
      </c>
      <c r="P131" s="72" t="s">
        <v>867</v>
      </c>
    </row>
    <row r="132" spans="2:16">
      <c r="B132" s="132" t="str">
        <f t="shared" si="11"/>
        <v>Typ profilu</v>
      </c>
      <c r="C132">
        <v>4</v>
      </c>
      <c r="M132" s="134" t="s">
        <v>408</v>
      </c>
      <c r="N132" s="72" t="s">
        <v>408</v>
      </c>
      <c r="O132" s="72" t="s">
        <v>627</v>
      </c>
      <c r="P132" s="72" t="s">
        <v>640</v>
      </c>
    </row>
    <row r="133" spans="2:16">
      <c r="B133" s="132" t="str">
        <f t="shared" si="11"/>
        <v>Typ skla</v>
      </c>
      <c r="C133">
        <v>5</v>
      </c>
      <c r="M133" s="134" t="s">
        <v>18</v>
      </c>
      <c r="N133" s="72" t="s">
        <v>18</v>
      </c>
      <c r="O133" s="72" t="s">
        <v>26</v>
      </c>
      <c r="P133" s="72" t="s">
        <v>549</v>
      </c>
    </row>
    <row r="134" spans="2:16">
      <c r="B134" s="132" t="str">
        <f t="shared" si="11"/>
        <v>Počet kusů</v>
      </c>
      <c r="C134">
        <v>6</v>
      </c>
      <c r="M134" s="134" t="s">
        <v>17</v>
      </c>
      <c r="N134" s="72" t="s">
        <v>415</v>
      </c>
      <c r="O134" s="72" t="s">
        <v>27</v>
      </c>
      <c r="P134" s="72" t="s">
        <v>550</v>
      </c>
    </row>
    <row r="135" spans="2:16">
      <c r="B135" s="132" t="str">
        <f t="shared" si="11"/>
        <v xml:space="preserve">Šířka </v>
      </c>
      <c r="C135">
        <v>7</v>
      </c>
      <c r="M135" s="134" t="s">
        <v>16</v>
      </c>
      <c r="N135" s="72" t="s">
        <v>416</v>
      </c>
      <c r="O135" s="72" t="s">
        <v>23</v>
      </c>
      <c r="P135" s="72" t="s">
        <v>551</v>
      </c>
    </row>
    <row r="136" spans="2:16" ht="15" customHeight="1">
      <c r="B136" s="132" t="str">
        <f t="shared" si="11"/>
        <v>Výška</v>
      </c>
      <c r="C136">
        <v>8</v>
      </c>
      <c r="M136" s="134" t="s">
        <v>28</v>
      </c>
      <c r="N136" s="72" t="s">
        <v>28</v>
      </c>
      <c r="O136" s="72" t="s">
        <v>24</v>
      </c>
      <c r="P136" s="72" t="s">
        <v>552</v>
      </c>
    </row>
    <row r="137" spans="2:16">
      <c r="B137" s="132" t="str">
        <f t="shared" si="11"/>
        <v>Poznámky</v>
      </c>
      <c r="C137">
        <v>9</v>
      </c>
      <c r="M137" s="134" t="s">
        <v>625</v>
      </c>
      <c r="N137" s="72" t="s">
        <v>625</v>
      </c>
      <c r="O137" s="72" t="s">
        <v>475</v>
      </c>
      <c r="P137" s="72" t="s">
        <v>626</v>
      </c>
    </row>
    <row r="138" spans="2:16">
      <c r="B138" s="132" t="str">
        <f t="shared" si="11"/>
        <v>Cena rámečků celkem</v>
      </c>
      <c r="C138">
        <v>10</v>
      </c>
      <c r="M138" s="134" t="s">
        <v>30</v>
      </c>
      <c r="N138" s="72" t="s">
        <v>417</v>
      </c>
      <c r="O138" s="72" t="s">
        <v>476</v>
      </c>
      <c r="P138" s="72" t="s">
        <v>553</v>
      </c>
    </row>
    <row r="139" spans="2:16">
      <c r="B139" s="132" t="str">
        <f t="shared" si="11"/>
        <v>Cena kování celkem</v>
      </c>
      <c r="C139">
        <v>11</v>
      </c>
      <c r="M139" s="135" t="s">
        <v>31</v>
      </c>
      <c r="N139" s="72" t="s">
        <v>418</v>
      </c>
      <c r="O139" s="72" t="s">
        <v>477</v>
      </c>
      <c r="P139" s="72" t="s">
        <v>554</v>
      </c>
    </row>
    <row r="140" spans="2:16">
      <c r="B140" s="132" t="str">
        <f t="shared" si="11"/>
        <v>Cena za kompletní objednávku</v>
      </c>
      <c r="C140">
        <v>12</v>
      </c>
      <c r="M140" s="135" t="s">
        <v>94</v>
      </c>
      <c r="N140" s="72" t="s">
        <v>419</v>
      </c>
      <c r="O140" s="72" t="s">
        <v>478</v>
      </c>
      <c r="P140" s="72" t="s">
        <v>555</v>
      </c>
    </row>
    <row r="141" spans="2:16">
      <c r="B141" s="132" t="str">
        <f t="shared" si="11"/>
        <v>Závěsy</v>
      </c>
      <c r="C141">
        <v>13</v>
      </c>
      <c r="M141" s="134" t="s">
        <v>728</v>
      </c>
      <c r="N141" s="72" t="s">
        <v>729</v>
      </c>
      <c r="O141" s="72" t="s">
        <v>730</v>
      </c>
      <c r="P141" s="72" t="s">
        <v>731</v>
      </c>
    </row>
    <row r="142" spans="2:16">
      <c r="B142" s="132" t="str">
        <f t="shared" si="11"/>
        <v>Aventos ostatní</v>
      </c>
      <c r="C142">
        <v>14</v>
      </c>
      <c r="M142" s="134" t="s">
        <v>732</v>
      </c>
      <c r="N142" s="72" t="s">
        <v>733</v>
      </c>
      <c r="O142" s="72" t="s">
        <v>734</v>
      </c>
      <c r="P142" s="72" t="s">
        <v>735</v>
      </c>
    </row>
    <row r="143" spans="2:16">
      <c r="B143" s="132" t="str">
        <f t="shared" si="11"/>
        <v>STRONG s tlumením</v>
      </c>
      <c r="C143">
        <v>15</v>
      </c>
      <c r="M143" s="134" t="s">
        <v>1167</v>
      </c>
      <c r="N143" s="72" t="s">
        <v>1569</v>
      </c>
      <c r="O143" s="72" t="s">
        <v>1570</v>
      </c>
      <c r="P143" s="72" t="s">
        <v>1571</v>
      </c>
    </row>
    <row r="144" spans="2:16">
      <c r="B144" s="132" t="str">
        <f t="shared" si="11"/>
        <v>Závěsy se zvedacím pístem</v>
      </c>
      <c r="C144">
        <v>16</v>
      </c>
      <c r="M144" s="134" t="s">
        <v>736</v>
      </c>
      <c r="N144" s="72" t="s">
        <v>737</v>
      </c>
      <c r="O144" s="72" t="s">
        <v>738</v>
      </c>
      <c r="P144" s="72" t="s">
        <v>739</v>
      </c>
    </row>
    <row r="145" spans="2:16">
      <c r="B145" s="132" t="str">
        <f t="shared" si="11"/>
        <v>Horní dvířko</v>
      </c>
      <c r="C145">
        <v>17</v>
      </c>
      <c r="M145" s="134" t="s">
        <v>98</v>
      </c>
      <c r="N145" s="72" t="s">
        <v>420</v>
      </c>
      <c r="O145" s="72" t="s">
        <v>479</v>
      </c>
      <c r="P145" s="72" t="s">
        <v>740</v>
      </c>
    </row>
    <row r="146" spans="2:16">
      <c r="B146" s="132" t="str">
        <f t="shared" si="11"/>
        <v>Spodní dvířko</v>
      </c>
      <c r="C146">
        <v>18</v>
      </c>
      <c r="M146" s="134" t="s">
        <v>97</v>
      </c>
      <c r="N146" s="72" t="s">
        <v>421</v>
      </c>
      <c r="O146" s="72" t="s">
        <v>480</v>
      </c>
      <c r="P146" s="72" t="s">
        <v>556</v>
      </c>
    </row>
    <row r="147" spans="2:16">
      <c r="B147" s="132" t="str">
        <f t="shared" si="11"/>
        <v>Naložený clip</v>
      </c>
      <c r="C147">
        <v>19</v>
      </c>
      <c r="M147" s="136" t="s">
        <v>121</v>
      </c>
      <c r="N147" s="72" t="s">
        <v>121</v>
      </c>
      <c r="O147" s="72" t="s">
        <v>481</v>
      </c>
      <c r="P147" s="72" t="s">
        <v>557</v>
      </c>
    </row>
    <row r="148" spans="2:16">
      <c r="B148" s="132" t="str">
        <f t="shared" si="11"/>
        <v>Polonaložený clip</v>
      </c>
      <c r="C148">
        <v>20</v>
      </c>
      <c r="M148" s="136" t="s">
        <v>122</v>
      </c>
      <c r="N148" s="72" t="s">
        <v>122</v>
      </c>
      <c r="O148" s="72" t="s">
        <v>482</v>
      </c>
      <c r="P148" s="72" t="s">
        <v>558</v>
      </c>
    </row>
    <row r="149" spans="2:16">
      <c r="B149" s="132" t="str">
        <f t="shared" si="11"/>
        <v>Vložený clip</v>
      </c>
      <c r="C149">
        <v>21</v>
      </c>
      <c r="M149" s="136" t="s">
        <v>123</v>
      </c>
      <c r="N149" s="72" t="s">
        <v>123</v>
      </c>
      <c r="O149" s="72" t="s">
        <v>483</v>
      </c>
      <c r="P149" s="72" t="s">
        <v>559</v>
      </c>
    </row>
    <row r="150" spans="2:16">
      <c r="B150" s="132" t="str">
        <f t="shared" si="11"/>
        <v>Úhel 45°</v>
      </c>
      <c r="C150">
        <v>22</v>
      </c>
      <c r="M150" s="136" t="s">
        <v>124</v>
      </c>
      <c r="N150" s="72" t="s">
        <v>422</v>
      </c>
      <c r="O150" s="72" t="s">
        <v>484</v>
      </c>
      <c r="P150" s="72" t="s">
        <v>560</v>
      </c>
    </row>
    <row r="151" spans="2:16">
      <c r="B151" s="132" t="str">
        <f t="shared" si="11"/>
        <v>Naložený</v>
      </c>
      <c r="C151">
        <v>23</v>
      </c>
      <c r="M151" s="17" t="s">
        <v>125</v>
      </c>
      <c r="N151" s="72" t="s">
        <v>423</v>
      </c>
      <c r="O151" s="72" t="s">
        <v>485</v>
      </c>
      <c r="P151" s="72" t="s">
        <v>561</v>
      </c>
    </row>
    <row r="152" spans="2:16">
      <c r="B152" s="132" t="str">
        <f t="shared" si="11"/>
        <v>Polonaložený</v>
      </c>
      <c r="C152">
        <v>24</v>
      </c>
      <c r="M152" s="17" t="s">
        <v>126</v>
      </c>
      <c r="N152" s="72" t="s">
        <v>424</v>
      </c>
      <c r="O152" s="72" t="s">
        <v>486</v>
      </c>
      <c r="P152" s="72" t="s">
        <v>562</v>
      </c>
    </row>
    <row r="153" spans="2:16">
      <c r="B153" s="132" t="str">
        <f t="shared" si="11"/>
        <v>Vložený</v>
      </c>
      <c r="C153">
        <v>25</v>
      </c>
      <c r="M153" s="17" t="s">
        <v>127</v>
      </c>
      <c r="N153" s="72" t="s">
        <v>425</v>
      </c>
      <c r="O153" s="72" t="s">
        <v>487</v>
      </c>
      <c r="P153" s="72" t="s">
        <v>563</v>
      </c>
    </row>
    <row r="154" spans="2:16">
      <c r="B154" s="132" t="str">
        <f t="shared" si="11"/>
        <v>Úhel 45°</v>
      </c>
      <c r="C154">
        <v>26</v>
      </c>
      <c r="M154" s="17" t="s">
        <v>124</v>
      </c>
      <c r="N154" s="72" t="s">
        <v>422</v>
      </c>
      <c r="O154" s="72" t="s">
        <v>484</v>
      </c>
      <c r="P154" s="72" t="s">
        <v>124</v>
      </c>
    </row>
    <row r="155" spans="2:16">
      <c r="B155" s="132" t="str">
        <f t="shared" si="11"/>
        <v>Naložený s opačnou pružinou</v>
      </c>
      <c r="C155">
        <v>27</v>
      </c>
      <c r="M155" s="17" t="s">
        <v>128</v>
      </c>
      <c r="N155" s="72" t="s">
        <v>128</v>
      </c>
      <c r="O155" s="72" t="s">
        <v>488</v>
      </c>
      <c r="P155" s="72" t="s">
        <v>564</v>
      </c>
    </row>
    <row r="156" spans="2:16">
      <c r="B156" s="132" t="str">
        <f t="shared" si="11"/>
        <v>Vložený s opačnou pružinou</v>
      </c>
      <c r="C156">
        <v>28</v>
      </c>
      <c r="M156" s="17" t="s">
        <v>129</v>
      </c>
      <c r="N156" s="72" t="s">
        <v>129</v>
      </c>
      <c r="O156" s="72" t="s">
        <v>489</v>
      </c>
      <c r="P156" s="72" t="s">
        <v>565</v>
      </c>
    </row>
    <row r="157" spans="2:16">
      <c r="B157" s="132" t="str">
        <f t="shared" si="11"/>
        <v>Clip na vrut H2</v>
      </c>
      <c r="C157">
        <v>29</v>
      </c>
      <c r="M157" s="134" t="s">
        <v>212</v>
      </c>
      <c r="N157" s="72" t="s">
        <v>426</v>
      </c>
      <c r="O157" s="72" t="s">
        <v>490</v>
      </c>
      <c r="P157" s="72" t="s">
        <v>566</v>
      </c>
    </row>
    <row r="158" spans="2:16">
      <c r="B158" s="132" t="str">
        <f t="shared" si="11"/>
        <v>Clip na vrut H4</v>
      </c>
      <c r="C158">
        <v>30</v>
      </c>
      <c r="M158" s="134" t="s">
        <v>213</v>
      </c>
      <c r="N158" s="72" t="s">
        <v>427</v>
      </c>
      <c r="O158" s="72" t="s">
        <v>491</v>
      </c>
      <c r="P158" s="72" t="s">
        <v>567</v>
      </c>
    </row>
    <row r="159" spans="2:16">
      <c r="B159" s="132" t="str">
        <f t="shared" si="11"/>
        <v>Clip na eurošroub H2</v>
      </c>
      <c r="C159">
        <v>31</v>
      </c>
      <c r="M159" s="134" t="s">
        <v>214</v>
      </c>
      <c r="N159" s="72" t="s">
        <v>428</v>
      </c>
      <c r="O159" s="72" t="s">
        <v>492</v>
      </c>
      <c r="P159" s="72" t="s">
        <v>568</v>
      </c>
    </row>
    <row r="160" spans="2:16">
      <c r="B160" s="132" t="str">
        <f t="shared" si="11"/>
        <v>Clip na eurošroub H4</v>
      </c>
      <c r="C160">
        <v>32</v>
      </c>
      <c r="M160" s="134" t="s">
        <v>215</v>
      </c>
      <c r="N160" s="72" t="s">
        <v>429</v>
      </c>
      <c r="O160" s="72" t="s">
        <v>493</v>
      </c>
      <c r="P160" s="72" t="s">
        <v>569</v>
      </c>
    </row>
    <row r="161" spans="2:16">
      <c r="B161" s="132" t="str">
        <f t="shared" ref="B161:B192" si="12">IF($D$1=1,M161,IF($D$1=2,N161,IF($D$1=3,O161,IF($D$1=4,P161,0))))</f>
        <v>Slide on na vrut H2</v>
      </c>
      <c r="C161">
        <v>33</v>
      </c>
      <c r="M161" s="134" t="s">
        <v>216</v>
      </c>
      <c r="N161" s="72" t="s">
        <v>430</v>
      </c>
      <c r="O161" s="72" t="s">
        <v>494</v>
      </c>
      <c r="P161" s="72" t="s">
        <v>570</v>
      </c>
    </row>
    <row r="162" spans="2:16">
      <c r="B162" s="132" t="str">
        <f t="shared" si="12"/>
        <v>Slide on na vrut H4</v>
      </c>
      <c r="C162">
        <v>34</v>
      </c>
      <c r="M162" s="134" t="s">
        <v>217</v>
      </c>
      <c r="N162" s="72" t="s">
        <v>431</v>
      </c>
      <c r="O162" s="72" t="s">
        <v>495</v>
      </c>
      <c r="P162" s="72" t="s">
        <v>571</v>
      </c>
    </row>
    <row r="163" spans="2:16">
      <c r="B163" s="132" t="str">
        <f t="shared" si="12"/>
        <v>Slide on na eurošroub H2</v>
      </c>
      <c r="C163">
        <v>35</v>
      </c>
      <c r="M163" s="134" t="s">
        <v>218</v>
      </c>
      <c r="N163" s="72" t="s">
        <v>432</v>
      </c>
      <c r="O163" s="72" t="s">
        <v>496</v>
      </c>
      <c r="P163" s="72" t="s">
        <v>572</v>
      </c>
    </row>
    <row r="164" spans="2:16">
      <c r="B164" s="132" t="str">
        <f t="shared" si="12"/>
        <v>Slide on na eurošroub H4</v>
      </c>
      <c r="C164">
        <v>36</v>
      </c>
      <c r="M164" s="134" t="s">
        <v>219</v>
      </c>
      <c r="N164" s="72" t="s">
        <v>433</v>
      </c>
      <c r="O164" s="72" t="s">
        <v>497</v>
      </c>
      <c r="P164" s="72" t="s">
        <v>573</v>
      </c>
    </row>
    <row r="165" spans="2:16">
      <c r="B165" s="132" t="str">
        <f t="shared" si="12"/>
        <v>Naložený pro Blumotion</v>
      </c>
      <c r="C165">
        <v>37</v>
      </c>
      <c r="M165" s="134" t="s">
        <v>203</v>
      </c>
      <c r="N165" s="72" t="s">
        <v>434</v>
      </c>
      <c r="O165" s="72" t="s">
        <v>498</v>
      </c>
      <c r="P165" s="72" t="s">
        <v>574</v>
      </c>
    </row>
    <row r="166" spans="2:16">
      <c r="B166" s="132" t="str">
        <f t="shared" si="12"/>
        <v>Polonaložený s integr. Blumotionem</v>
      </c>
      <c r="C166">
        <v>38</v>
      </c>
      <c r="M166" s="134" t="s">
        <v>807</v>
      </c>
      <c r="N166" s="72" t="s">
        <v>855</v>
      </c>
      <c r="O166" s="72" t="s">
        <v>868</v>
      </c>
      <c r="P166" s="72" t="s">
        <v>869</v>
      </c>
    </row>
    <row r="167" spans="2:16">
      <c r="B167" s="132" t="str">
        <f t="shared" si="12"/>
        <v>Vložený s integr. Blumotionem</v>
      </c>
      <c r="C167">
        <v>39</v>
      </c>
      <c r="M167" s="134" t="s">
        <v>808</v>
      </c>
      <c r="N167" s="72" t="s">
        <v>856</v>
      </c>
      <c r="O167" s="72" t="s">
        <v>870</v>
      </c>
      <c r="P167" s="72" t="s">
        <v>871</v>
      </c>
    </row>
    <row r="168" spans="2:16">
      <c r="B168" s="132" t="str">
        <f t="shared" si="12"/>
        <v>45° clip naložený</v>
      </c>
      <c r="C168">
        <v>40</v>
      </c>
      <c r="M168" s="17" t="s">
        <v>205</v>
      </c>
      <c r="N168" s="72" t="s">
        <v>435</v>
      </c>
      <c r="O168" s="72" t="s">
        <v>499</v>
      </c>
      <c r="P168" s="72" t="s">
        <v>575</v>
      </c>
    </row>
    <row r="169" spans="2:16">
      <c r="B169" s="132" t="str">
        <f t="shared" si="12"/>
        <v>45° clip polonaložený</v>
      </c>
      <c r="C169">
        <v>41</v>
      </c>
      <c r="M169" s="17" t="s">
        <v>204</v>
      </c>
      <c r="N169" s="72" t="s">
        <v>204</v>
      </c>
      <c r="O169" s="72" t="s">
        <v>500</v>
      </c>
      <c r="P169" s="72" t="s">
        <v>576</v>
      </c>
    </row>
    <row r="170" spans="2:16">
      <c r="B170" s="132" t="str">
        <f t="shared" si="12"/>
        <v>Naložený bez pružiny</v>
      </c>
      <c r="C170">
        <v>42</v>
      </c>
      <c r="M170" s="17" t="s">
        <v>130</v>
      </c>
      <c r="N170" s="72" t="s">
        <v>130</v>
      </c>
      <c r="O170" s="72" t="s">
        <v>501</v>
      </c>
      <c r="P170" s="72" t="s">
        <v>577</v>
      </c>
    </row>
    <row r="171" spans="2:16">
      <c r="B171" s="132" t="str">
        <f t="shared" si="12"/>
        <v>Naložený bez pružiny (TIP-ON)</v>
      </c>
      <c r="C171">
        <v>43</v>
      </c>
      <c r="M171" s="17" t="s">
        <v>206</v>
      </c>
      <c r="N171" s="72" t="s">
        <v>436</v>
      </c>
      <c r="O171" s="72" t="s">
        <v>502</v>
      </c>
      <c r="P171" s="72" t="s">
        <v>578</v>
      </c>
    </row>
    <row r="172" spans="2:16">
      <c r="B172" s="132" t="str">
        <f t="shared" si="12"/>
        <v>Clip na eurošroub</v>
      </c>
      <c r="C172">
        <v>44</v>
      </c>
      <c r="M172" s="17" t="s">
        <v>208</v>
      </c>
      <c r="N172" s="72" t="s">
        <v>437</v>
      </c>
      <c r="O172" s="72" t="s">
        <v>503</v>
      </c>
      <c r="P172" s="72" t="s">
        <v>579</v>
      </c>
    </row>
    <row r="173" spans="2:16">
      <c r="B173" s="132" t="str">
        <f t="shared" si="12"/>
        <v>Clip na vrut</v>
      </c>
      <c r="C173">
        <v>45</v>
      </c>
      <c r="M173" s="17" t="s">
        <v>207</v>
      </c>
      <c r="N173" s="72" t="s">
        <v>438</v>
      </c>
      <c r="O173" s="72" t="s">
        <v>504</v>
      </c>
      <c r="P173" s="72" t="s">
        <v>580</v>
      </c>
    </row>
    <row r="174" spans="2:16">
      <c r="B174" s="132" t="str">
        <f t="shared" si="12"/>
        <v xml:space="preserve">Zvýšená o 6 mm </v>
      </c>
      <c r="C174">
        <v>46</v>
      </c>
      <c r="M174" s="17" t="s">
        <v>209</v>
      </c>
      <c r="N174" s="72" t="s">
        <v>439</v>
      </c>
      <c r="O174" s="72" t="s">
        <v>505</v>
      </c>
      <c r="P174" s="72" t="s">
        <v>581</v>
      </c>
    </row>
    <row r="175" spans="2:16">
      <c r="B175" s="132" t="str">
        <f t="shared" si="12"/>
        <v>45° clip</v>
      </c>
      <c r="C175">
        <v>47</v>
      </c>
      <c r="M175" s="17" t="s">
        <v>10</v>
      </c>
      <c r="N175" s="72" t="s">
        <v>440</v>
      </c>
      <c r="O175" s="72" t="s">
        <v>10</v>
      </c>
      <c r="P175" s="72" t="s">
        <v>10</v>
      </c>
    </row>
    <row r="176" spans="2:16">
      <c r="B176" s="132" t="str">
        <f t="shared" si="12"/>
        <v xml:space="preserve">Clip na eurošroub H0 </v>
      </c>
      <c r="C176">
        <v>48</v>
      </c>
      <c r="M176" s="17" t="s">
        <v>211</v>
      </c>
      <c r="N176" s="72" t="s">
        <v>441</v>
      </c>
      <c r="O176" s="72" t="s">
        <v>506</v>
      </c>
      <c r="P176" s="72" t="s">
        <v>582</v>
      </c>
    </row>
    <row r="177" spans="2:16">
      <c r="B177" s="132" t="str">
        <f t="shared" si="12"/>
        <v>Clip na vrut H0</v>
      </c>
      <c r="C177">
        <v>49</v>
      </c>
      <c r="M177" s="17" t="s">
        <v>210</v>
      </c>
      <c r="N177" s="72" t="s">
        <v>442</v>
      </c>
      <c r="O177" s="72" t="s">
        <v>507</v>
      </c>
      <c r="P177" s="72" t="s">
        <v>583</v>
      </c>
    </row>
    <row r="178" spans="2:16">
      <c r="B178" s="132" t="str">
        <f t="shared" si="12"/>
        <v>Výběr pozice rámečku</v>
      </c>
      <c r="C178">
        <v>50</v>
      </c>
      <c r="M178" s="17" t="s">
        <v>244</v>
      </c>
      <c r="N178" s="72" t="s">
        <v>443</v>
      </c>
      <c r="O178" s="72" t="s">
        <v>508</v>
      </c>
      <c r="P178" s="72" t="s">
        <v>584</v>
      </c>
    </row>
    <row r="179" spans="2:16">
      <c r="B179" s="132" t="str">
        <f t="shared" si="12"/>
        <v>Výrobce závěsů</v>
      </c>
      <c r="C179">
        <v>51</v>
      </c>
      <c r="M179" s="17" t="s">
        <v>222</v>
      </c>
      <c r="N179" s="72" t="s">
        <v>444</v>
      </c>
      <c r="O179" s="72" t="s">
        <v>509</v>
      </c>
      <c r="P179" s="72" t="s">
        <v>585</v>
      </c>
    </row>
    <row r="180" spans="2:16">
      <c r="B180" s="132" t="str">
        <f t="shared" si="12"/>
        <v>Typ závěsů</v>
      </c>
      <c r="C180">
        <v>52</v>
      </c>
      <c r="M180" s="17" t="s">
        <v>223</v>
      </c>
      <c r="N180" s="72" t="s">
        <v>445</v>
      </c>
      <c r="O180" s="72" t="s">
        <v>510</v>
      </c>
      <c r="P180" s="72" t="s">
        <v>586</v>
      </c>
    </row>
    <row r="181" spans="2:16">
      <c r="B181" s="132" t="str">
        <f t="shared" si="12"/>
        <v>Typ Aventosu</v>
      </c>
      <c r="C181">
        <v>53</v>
      </c>
      <c r="M181" s="134" t="s">
        <v>224</v>
      </c>
      <c r="N181" s="72" t="s">
        <v>224</v>
      </c>
      <c r="O181" s="72" t="s">
        <v>511</v>
      </c>
      <c r="P181" s="72" t="s">
        <v>587</v>
      </c>
    </row>
    <row r="182" spans="2:16">
      <c r="B182" s="132" t="str">
        <f t="shared" si="12"/>
        <v>Typ podložky</v>
      </c>
      <c r="C182">
        <v>54</v>
      </c>
      <c r="M182" s="134" t="s">
        <v>225</v>
      </c>
      <c r="N182" s="72" t="s">
        <v>225</v>
      </c>
      <c r="O182" s="72" t="s">
        <v>512</v>
      </c>
      <c r="P182" s="72" t="s">
        <v>588</v>
      </c>
    </row>
    <row r="183" spans="2:16">
      <c r="B183" s="132" t="str">
        <f t="shared" si="12"/>
        <v>Počet závěsu na 1 rámeček</v>
      </c>
      <c r="C183">
        <v>55</v>
      </c>
      <c r="M183" s="134" t="s">
        <v>373</v>
      </c>
      <c r="N183" s="72" t="s">
        <v>446</v>
      </c>
      <c r="O183" s="72" t="s">
        <v>513</v>
      </c>
      <c r="P183" s="72" t="s">
        <v>589</v>
      </c>
    </row>
    <row r="184" spans="2:16">
      <c r="B184" s="132" t="str">
        <f t="shared" si="12"/>
        <v>Zvedací písty</v>
      </c>
      <c r="C184">
        <v>56</v>
      </c>
      <c r="M184" s="134" t="s">
        <v>239</v>
      </c>
      <c r="N184" s="72" t="s">
        <v>447</v>
      </c>
      <c r="O184" s="72" t="s">
        <v>514</v>
      </c>
      <c r="P184" s="72" t="s">
        <v>590</v>
      </c>
    </row>
    <row r="185" spans="2:16">
      <c r="B185" s="132" t="str">
        <f t="shared" si="12"/>
        <v>Dodat včetně uvedeného kování</v>
      </c>
      <c r="C185">
        <v>57</v>
      </c>
      <c r="M185" s="134" t="s">
        <v>228</v>
      </c>
      <c r="N185" s="72" t="s">
        <v>448</v>
      </c>
      <c r="O185" s="72" t="s">
        <v>548</v>
      </c>
      <c r="P185" s="72" t="s">
        <v>591</v>
      </c>
    </row>
    <row r="186" spans="2:16">
      <c r="B186" s="132" t="str">
        <f t="shared" si="12"/>
        <v>Umístění pístů</v>
      </c>
      <c r="C186">
        <v>58</v>
      </c>
      <c r="M186" s="134" t="s">
        <v>240</v>
      </c>
      <c r="N186" s="72" t="s">
        <v>449</v>
      </c>
      <c r="O186" s="72" t="s">
        <v>515</v>
      </c>
      <c r="P186" s="72" t="s">
        <v>592</v>
      </c>
    </row>
    <row r="187" spans="2:16">
      <c r="B187" s="132" t="str">
        <f t="shared" si="12"/>
        <v xml:space="preserve">Vpravo </v>
      </c>
      <c r="C187">
        <v>59</v>
      </c>
      <c r="M187" s="134" t="s">
        <v>242</v>
      </c>
      <c r="N187" s="72" t="s">
        <v>450</v>
      </c>
      <c r="O187" s="72" t="s">
        <v>516</v>
      </c>
      <c r="P187" s="72" t="s">
        <v>593</v>
      </c>
    </row>
    <row r="188" spans="2:16">
      <c r="B188" s="132" t="str">
        <f t="shared" si="12"/>
        <v>Vlevo</v>
      </c>
      <c r="C188">
        <v>60</v>
      </c>
      <c r="M188" s="134" t="s">
        <v>241</v>
      </c>
      <c r="N188" s="72" t="s">
        <v>451</v>
      </c>
      <c r="O188" s="72" t="s">
        <v>517</v>
      </c>
      <c r="P188" s="72" t="s">
        <v>594</v>
      </c>
    </row>
    <row r="189" spans="2:16">
      <c r="B189" s="132" t="str">
        <f t="shared" si="12"/>
        <v>2 Kusy (obě strany)</v>
      </c>
      <c r="C189">
        <v>61</v>
      </c>
      <c r="M189" s="134" t="s">
        <v>243</v>
      </c>
      <c r="N189" s="72" t="s">
        <v>452</v>
      </c>
      <c r="O189" s="72" t="s">
        <v>518</v>
      </c>
      <c r="P189" s="72" t="s">
        <v>595</v>
      </c>
    </row>
    <row r="190" spans="2:16">
      <c r="B190" s="132" t="str">
        <f t="shared" si="12"/>
        <v>Provedení druhého dvířka</v>
      </c>
      <c r="C190">
        <v>62</v>
      </c>
      <c r="M190" s="134" t="s">
        <v>372</v>
      </c>
      <c r="N190" s="72" t="s">
        <v>453</v>
      </c>
      <c r="O190" s="72" t="s">
        <v>547</v>
      </c>
      <c r="P190" s="72" t="s">
        <v>596</v>
      </c>
    </row>
    <row r="191" spans="2:16">
      <c r="B191" s="132" t="str">
        <f t="shared" si="12"/>
        <v>Úzký ALU rámeček</v>
      </c>
      <c r="C191">
        <v>63</v>
      </c>
      <c r="M191" s="134" t="s">
        <v>245</v>
      </c>
      <c r="N191" s="72" t="s">
        <v>454</v>
      </c>
      <c r="O191" s="72" t="s">
        <v>519</v>
      </c>
      <c r="P191" s="72" t="s">
        <v>597</v>
      </c>
    </row>
    <row r="192" spans="2:16">
      <c r="B192" s="132" t="str">
        <f t="shared" si="12"/>
        <v>Široký ALU rámeček</v>
      </c>
      <c r="C192">
        <v>64</v>
      </c>
      <c r="M192" s="134" t="s">
        <v>246</v>
      </c>
      <c r="N192" s="72" t="s">
        <v>455</v>
      </c>
      <c r="O192" s="72" t="s">
        <v>520</v>
      </c>
      <c r="P192" s="72" t="s">
        <v>598</v>
      </c>
    </row>
    <row r="193" spans="2:16">
      <c r="B193" s="132" t="str">
        <f t="shared" ref="B193:B225" si="13">IF($D$1=1,M193,IF($D$1=2,N193,IF($D$1=3,O193,IF($D$1=4,P193,0))))</f>
        <v>MDF tloušťky 16 mm</v>
      </c>
      <c r="C193">
        <v>65</v>
      </c>
      <c r="M193" s="134" t="s">
        <v>248</v>
      </c>
      <c r="N193" s="72" t="s">
        <v>456</v>
      </c>
      <c r="O193" s="72" t="s">
        <v>521</v>
      </c>
      <c r="P193" s="72" t="s">
        <v>599</v>
      </c>
    </row>
    <row r="194" spans="2:16">
      <c r="B194" s="132" t="str">
        <f t="shared" si="13"/>
        <v>MDF tloušťky 18 mm</v>
      </c>
      <c r="C194">
        <v>66</v>
      </c>
      <c r="M194" s="134" t="s">
        <v>247</v>
      </c>
      <c r="N194" s="72" t="s">
        <v>457</v>
      </c>
      <c r="O194" s="72" t="s">
        <v>522</v>
      </c>
      <c r="P194" s="72" t="s">
        <v>600</v>
      </c>
    </row>
    <row r="195" spans="2:16">
      <c r="B195" s="132" t="str">
        <f t="shared" si="13"/>
        <v>DTDL tloušťky 18 mm</v>
      </c>
      <c r="C195">
        <v>67</v>
      </c>
      <c r="M195" s="134" t="s">
        <v>249</v>
      </c>
      <c r="N195" s="72" t="s">
        <v>458</v>
      </c>
      <c r="O195" s="72" t="s">
        <v>523</v>
      </c>
      <c r="P195" s="72" t="s">
        <v>601</v>
      </c>
    </row>
    <row r="196" spans="2:16">
      <c r="B196" s="132" t="str">
        <f t="shared" si="13"/>
        <v>Umístění závěsů</v>
      </c>
      <c r="C196">
        <v>68</v>
      </c>
      <c r="M196" s="134" t="s">
        <v>250</v>
      </c>
      <c r="N196" s="72" t="s">
        <v>459</v>
      </c>
      <c r="O196" s="72" t="s">
        <v>524</v>
      </c>
      <c r="P196" s="72" t="s">
        <v>602</v>
      </c>
    </row>
    <row r="197" spans="2:16">
      <c r="B197" s="132" t="str">
        <f t="shared" si="13"/>
        <v>Nahoře</v>
      </c>
      <c r="C197">
        <v>69</v>
      </c>
      <c r="M197" s="134" t="s">
        <v>251</v>
      </c>
      <c r="N197" s="72" t="s">
        <v>460</v>
      </c>
      <c r="O197" s="72" t="s">
        <v>525</v>
      </c>
      <c r="P197" s="72" t="s">
        <v>603</v>
      </c>
    </row>
    <row r="198" spans="2:16">
      <c r="B198" s="132" t="str">
        <f t="shared" si="13"/>
        <v>Dole</v>
      </c>
      <c r="C198">
        <v>70</v>
      </c>
      <c r="M198" s="134" t="s">
        <v>252</v>
      </c>
      <c r="N198" s="72" t="s">
        <v>252</v>
      </c>
      <c r="O198" s="72" t="s">
        <v>526</v>
      </c>
      <c r="P198" s="72" t="s">
        <v>604</v>
      </c>
    </row>
    <row r="199" spans="2:16">
      <c r="B199" s="132" t="str">
        <f t="shared" si="13"/>
        <v>Vyberte ze seznamu</v>
      </c>
      <c r="C199">
        <v>71</v>
      </c>
      <c r="M199" s="134" t="s">
        <v>258</v>
      </c>
      <c r="N199" s="72" t="s">
        <v>461</v>
      </c>
      <c r="O199" s="72" t="s">
        <v>527</v>
      </c>
      <c r="P199" s="72" t="s">
        <v>605</v>
      </c>
    </row>
    <row r="200" spans="2:16">
      <c r="B200" s="132" t="str">
        <f t="shared" si="13"/>
        <v>Vzdálenost závěsu od kraje</v>
      </c>
      <c r="C200">
        <v>72</v>
      </c>
      <c r="M200" s="134" t="s">
        <v>374</v>
      </c>
      <c r="N200" s="72" t="s">
        <v>462</v>
      </c>
      <c r="O200" s="72" t="s">
        <v>528</v>
      </c>
      <c r="P200" s="72" t="s">
        <v>606</v>
      </c>
    </row>
    <row r="201" spans="2:16">
      <c r="B201" s="132" t="str">
        <f t="shared" si="13"/>
        <v>Vyplňte pouze pokud nebude vrtání symetricky na střed</v>
      </c>
      <c r="C201">
        <v>73</v>
      </c>
      <c r="M201" s="134" t="s">
        <v>375</v>
      </c>
      <c r="N201" s="72" t="s">
        <v>463</v>
      </c>
      <c r="O201" s="72" t="s">
        <v>1671</v>
      </c>
      <c r="P201" s="72" t="s">
        <v>607</v>
      </c>
    </row>
    <row r="202" spans="2:16">
      <c r="B202" s="132" t="str">
        <f t="shared" si="13"/>
        <v>Objednávkový formulář ALU rámečků</v>
      </c>
      <c r="C202">
        <v>74</v>
      </c>
      <c r="M202" s="134" t="s">
        <v>376</v>
      </c>
      <c r="N202" s="72" t="s">
        <v>464</v>
      </c>
      <c r="O202" s="72" t="s">
        <v>529</v>
      </c>
      <c r="P202" s="72" t="s">
        <v>673</v>
      </c>
    </row>
    <row r="203" spans="2:16">
      <c r="B203" s="132" t="str">
        <f t="shared" si="13"/>
        <v xml:space="preserve">Při vyplňování formuláře postupujte vždy shora dolů. Provedete li zpětně změnu, překontrolujte zda jsou následující položky správně. </v>
      </c>
      <c r="C203">
        <v>75</v>
      </c>
      <c r="M203" s="134" t="s">
        <v>413</v>
      </c>
      <c r="N203" s="72" t="s">
        <v>471</v>
      </c>
      <c r="O203" s="72" t="s">
        <v>530</v>
      </c>
      <c r="P203" s="72" t="s">
        <v>608</v>
      </c>
    </row>
    <row r="204" spans="2:16" s="139" customFormat="1">
      <c r="B204" s="138" t="str">
        <f t="shared" si="13"/>
        <v>Ceny jsou platné od 1.02.2020/Verze 20.01</v>
      </c>
      <c r="C204">
        <v>76</v>
      </c>
      <c r="M204" s="232" t="s">
        <v>1693</v>
      </c>
      <c r="N204" s="233" t="s">
        <v>1690</v>
      </c>
      <c r="O204" s="233" t="s">
        <v>1691</v>
      </c>
      <c r="P204" s="233" t="s">
        <v>1692</v>
      </c>
    </row>
    <row r="205" spans="2:16">
      <c r="B205" s="132" t="str">
        <f t="shared" si="13"/>
        <v>Cena celkem</v>
      </c>
      <c r="C205">
        <v>77</v>
      </c>
      <c r="M205" s="134" t="s">
        <v>29</v>
      </c>
      <c r="N205" s="72" t="s">
        <v>465</v>
      </c>
      <c r="O205" s="72" t="s">
        <v>531</v>
      </c>
      <c r="P205" s="72" t="s">
        <v>609</v>
      </c>
    </row>
    <row r="206" spans="2:16">
      <c r="B206" s="132" t="str">
        <f t="shared" si="13"/>
        <v>Zákazník</v>
      </c>
      <c r="C206">
        <v>78</v>
      </c>
      <c r="M206" s="134" t="s">
        <v>379</v>
      </c>
      <c r="N206" s="72" t="s">
        <v>379</v>
      </c>
      <c r="O206" s="72" t="s">
        <v>532</v>
      </c>
      <c r="P206" s="72" t="s">
        <v>610</v>
      </c>
    </row>
    <row r="207" spans="2:16">
      <c r="B207" s="132" t="str">
        <f t="shared" si="13"/>
        <v>Kontaktní tel.</v>
      </c>
      <c r="C207">
        <v>79</v>
      </c>
      <c r="M207" s="134" t="s">
        <v>381</v>
      </c>
      <c r="N207" s="72" t="s">
        <v>466</v>
      </c>
      <c r="O207" s="72" t="s">
        <v>533</v>
      </c>
      <c r="P207" s="72" t="s">
        <v>611</v>
      </c>
    </row>
    <row r="208" spans="2:16">
      <c r="B208" s="132" t="str">
        <f t="shared" si="13"/>
        <v>Kontaktní e-mail</v>
      </c>
      <c r="C208">
        <v>80</v>
      </c>
      <c r="M208" s="134" t="s">
        <v>382</v>
      </c>
      <c r="N208" s="72" t="s">
        <v>467</v>
      </c>
      <c r="O208" s="72" t="s">
        <v>534</v>
      </c>
      <c r="P208" s="72" t="s">
        <v>612</v>
      </c>
    </row>
    <row r="209" spans="2:16">
      <c r="B209" s="132" t="str">
        <f t="shared" si="13"/>
        <v>Adresa provozovny</v>
      </c>
      <c r="C209">
        <v>81</v>
      </c>
      <c r="M209" s="134" t="s">
        <v>380</v>
      </c>
      <c r="N209" s="72" t="s">
        <v>468</v>
      </c>
      <c r="O209" s="72" t="s">
        <v>535</v>
      </c>
      <c r="P209" s="72" t="s">
        <v>613</v>
      </c>
    </row>
    <row r="210" spans="2:16">
      <c r="B210" s="132" t="str">
        <f t="shared" si="13"/>
        <v>IČ:</v>
      </c>
      <c r="C210">
        <v>82</v>
      </c>
      <c r="M210" s="134" t="s">
        <v>378</v>
      </c>
      <c r="N210" s="72" t="s">
        <v>378</v>
      </c>
      <c r="O210" s="72" t="s">
        <v>536</v>
      </c>
      <c r="P210" s="72" t="s">
        <v>378</v>
      </c>
    </row>
    <row r="211" spans="2:16">
      <c r="B211" s="132" t="str">
        <f t="shared" si="13"/>
        <v>Sleva na rámečky</v>
      </c>
      <c r="C211">
        <v>83</v>
      </c>
      <c r="M211" s="134" t="s">
        <v>383</v>
      </c>
      <c r="N211" s="72" t="s">
        <v>469</v>
      </c>
      <c r="O211" s="72" t="s">
        <v>537</v>
      </c>
      <c r="P211" s="72" t="s">
        <v>614</v>
      </c>
    </row>
    <row r="212" spans="2:16">
      <c r="B212" s="132" t="str">
        <f t="shared" si="13"/>
        <v>Sleva na kování</v>
      </c>
      <c r="C212">
        <v>84</v>
      </c>
      <c r="M212" s="134" t="s">
        <v>384</v>
      </c>
      <c r="N212" s="72" t="s">
        <v>470</v>
      </c>
      <c r="O212" s="72" t="s">
        <v>538</v>
      </c>
      <c r="P212" s="72" t="s">
        <v>615</v>
      </c>
    </row>
    <row r="213" spans="2:16">
      <c r="B213" s="132" t="str">
        <f t="shared" si="13"/>
        <v>Číslo objednávky</v>
      </c>
      <c r="C213">
        <v>85</v>
      </c>
      <c r="M213" s="134" t="s">
        <v>404</v>
      </c>
      <c r="N213" s="72" t="s">
        <v>404</v>
      </c>
      <c r="O213" s="72" t="s">
        <v>25</v>
      </c>
      <c r="P213" s="72" t="s">
        <v>616</v>
      </c>
    </row>
    <row r="214" spans="2:16">
      <c r="B214" s="132" t="str">
        <f t="shared" si="13"/>
        <v>Barevné náhledy u jednotlivých názvů RAL a REF jsou pouze orientační!!!!</v>
      </c>
      <c r="C214">
        <v>86</v>
      </c>
      <c r="M214" s="134" t="s">
        <v>403</v>
      </c>
      <c r="N214" s="72" t="s">
        <v>473</v>
      </c>
      <c r="O214" s="72" t="s">
        <v>1672</v>
      </c>
      <c r="P214" s="72" t="s">
        <v>1381</v>
      </c>
    </row>
    <row r="215" spans="2:16">
      <c r="B215" s="132" t="str">
        <f t="shared" si="13"/>
        <v>Typ kování</v>
      </c>
      <c r="C215">
        <v>87</v>
      </c>
      <c r="M215" s="134" t="s">
        <v>95</v>
      </c>
      <c r="N215" s="72" t="s">
        <v>472</v>
      </c>
      <c r="O215" s="72" t="s">
        <v>546</v>
      </c>
      <c r="P215" s="72" t="s">
        <v>1668</v>
      </c>
    </row>
    <row r="216" spans="2:16">
      <c r="B216" s="132" t="str">
        <f t="shared" si="13"/>
        <v>AVENTOS HF</v>
      </c>
      <c r="C216">
        <v>88</v>
      </c>
      <c r="M216" s="134" t="s">
        <v>103</v>
      </c>
      <c r="N216" s="134" t="s">
        <v>103</v>
      </c>
      <c r="O216" s="134" t="s">
        <v>103</v>
      </c>
      <c r="P216" s="134" t="s">
        <v>103</v>
      </c>
    </row>
    <row r="217" spans="2:16">
      <c r="B217" s="132" t="str">
        <f t="shared" si="13"/>
        <v>AVENTOS HK TOP</v>
      </c>
      <c r="C217">
        <v>89</v>
      </c>
      <c r="M217" s="135" t="s">
        <v>1687</v>
      </c>
      <c r="N217" s="135" t="s">
        <v>1687</v>
      </c>
      <c r="O217" s="135" t="s">
        <v>1687</v>
      </c>
      <c r="P217" s="135" t="s">
        <v>1687</v>
      </c>
    </row>
    <row r="218" spans="2:16">
      <c r="B218" s="132" t="str">
        <f t="shared" si="13"/>
        <v>AVENTOS HKS</v>
      </c>
      <c r="C218">
        <v>90</v>
      </c>
      <c r="M218" s="135" t="s">
        <v>104</v>
      </c>
      <c r="N218" s="135" t="s">
        <v>104</v>
      </c>
      <c r="O218" s="135" t="s">
        <v>104</v>
      </c>
      <c r="P218" s="135" t="s">
        <v>104</v>
      </c>
    </row>
    <row r="219" spans="2:16">
      <c r="B219" s="132" t="str">
        <f t="shared" si="13"/>
        <v>AVENTOS HL</v>
      </c>
      <c r="C219">
        <v>91</v>
      </c>
      <c r="M219" s="135" t="s">
        <v>105</v>
      </c>
      <c r="N219" s="135" t="s">
        <v>105</v>
      </c>
      <c r="O219" s="135" t="s">
        <v>105</v>
      </c>
      <c r="P219" s="135" t="s">
        <v>105</v>
      </c>
    </row>
    <row r="220" spans="2:16">
      <c r="B220" s="132" t="str">
        <f t="shared" si="13"/>
        <v>AVENTOS HS</v>
      </c>
      <c r="C220">
        <v>92</v>
      </c>
      <c r="M220" s="135" t="s">
        <v>106</v>
      </c>
      <c r="N220" s="135" t="s">
        <v>106</v>
      </c>
      <c r="O220" s="135" t="s">
        <v>106</v>
      </c>
      <c r="P220" s="135" t="s">
        <v>106</v>
      </c>
    </row>
    <row r="221" spans="2:16">
      <c r="B221" s="132" t="str">
        <f t="shared" si="13"/>
        <v>AVENTOS HK-XS</v>
      </c>
      <c r="C221">
        <v>93</v>
      </c>
      <c r="M221" s="135" t="s">
        <v>1027</v>
      </c>
      <c r="N221" s="135" t="s">
        <v>1027</v>
      </c>
      <c r="O221" s="135" t="s">
        <v>1027</v>
      </c>
      <c r="P221" s="135" t="s">
        <v>1027</v>
      </c>
    </row>
    <row r="222" spans="2:16">
      <c r="B222" s="132" t="str">
        <f t="shared" si="13"/>
        <v>AVENTOS HK-XS TIP-ON</v>
      </c>
      <c r="C222">
        <v>94</v>
      </c>
      <c r="M222" s="135" t="s">
        <v>1056</v>
      </c>
      <c r="N222" s="135" t="s">
        <v>1056</v>
      </c>
      <c r="O222" s="135" t="s">
        <v>1056</v>
      </c>
      <c r="P222" s="135" t="s">
        <v>1056</v>
      </c>
    </row>
    <row r="223" spans="2:16">
      <c r="B223" s="132" t="str">
        <f t="shared" si="13"/>
        <v>FGV</v>
      </c>
      <c r="C223">
        <v>95</v>
      </c>
      <c r="M223" s="135" t="s">
        <v>13</v>
      </c>
      <c r="N223" s="135" t="s">
        <v>13</v>
      </c>
      <c r="O223" s="135" t="s">
        <v>13</v>
      </c>
      <c r="P223" s="135" t="s">
        <v>13</v>
      </c>
    </row>
    <row r="224" spans="2:16">
      <c r="B224" s="132" t="str">
        <f t="shared" si="13"/>
        <v>BLUM</v>
      </c>
      <c r="C224">
        <v>96</v>
      </c>
      <c r="M224" s="135" t="s">
        <v>14</v>
      </c>
      <c r="N224" s="135" t="s">
        <v>14</v>
      </c>
      <c r="O224" s="135" t="s">
        <v>14</v>
      </c>
      <c r="P224" s="135" t="s">
        <v>14</v>
      </c>
    </row>
    <row r="225" spans="2:16">
      <c r="B225" s="132" t="str">
        <f t="shared" si="13"/>
        <v>STRONG bez tlumení</v>
      </c>
      <c r="C225">
        <v>97</v>
      </c>
      <c r="M225" s="135" t="s">
        <v>1166</v>
      </c>
      <c r="N225" s="135" t="s">
        <v>1572</v>
      </c>
      <c r="O225" s="135" t="s">
        <v>1573</v>
      </c>
      <c r="P225" s="135" t="s">
        <v>1574</v>
      </c>
    </row>
    <row r="226" spans="2:16">
      <c r="B226" s="132" t="s">
        <v>1026</v>
      </c>
      <c r="C226">
        <v>98</v>
      </c>
      <c r="M226" s="135" t="s">
        <v>1026</v>
      </c>
      <c r="N226" s="135" t="s">
        <v>1026</v>
      </c>
      <c r="O226" s="135" t="s">
        <v>1026</v>
      </c>
      <c r="P226" s="135" t="s">
        <v>1026</v>
      </c>
    </row>
    <row r="227" spans="2:16">
      <c r="B227" s="132" t="str">
        <f t="shared" ref="B227:B259" si="14">IF($D$1=1,M227,IF($D$1=2,N227,IF($D$1=3,O227,IF($D$1=4,P227,0))))</f>
        <v xml:space="preserve">Vyplňte pouze pokud nebude vrtání symetricky na střed </v>
      </c>
      <c r="C227">
        <v>99</v>
      </c>
      <c r="M227" s="134" t="s">
        <v>545</v>
      </c>
      <c r="N227" s="135" t="s">
        <v>636</v>
      </c>
      <c r="O227" s="72" t="s">
        <v>641</v>
      </c>
      <c r="P227" s="72" t="s">
        <v>648</v>
      </c>
    </row>
    <row r="228" spans="2:16">
      <c r="B228" s="132" t="str">
        <f t="shared" si="14"/>
        <v>Posuvné rámečky</v>
      </c>
      <c r="C228">
        <v>100</v>
      </c>
      <c r="M228" s="134" t="s">
        <v>20</v>
      </c>
      <c r="N228" s="135" t="s">
        <v>637</v>
      </c>
      <c r="O228" s="72" t="s">
        <v>642</v>
      </c>
      <c r="P228" s="72" t="s">
        <v>649</v>
      </c>
    </row>
    <row r="229" spans="2:16">
      <c r="B229" s="132" t="str">
        <f t="shared" si="14"/>
        <v>Standardně je objednávka dodána včetně kování a vodících profilů</v>
      </c>
      <c r="C229">
        <v>101</v>
      </c>
      <c r="M229" s="134" t="s">
        <v>407</v>
      </c>
      <c r="N229" s="72" t="s">
        <v>630</v>
      </c>
      <c r="O229" s="72" t="s">
        <v>674</v>
      </c>
      <c r="P229" s="134" t="s">
        <v>650</v>
      </c>
    </row>
    <row r="230" spans="2:16">
      <c r="B230" s="132" t="str">
        <f t="shared" si="14"/>
        <v xml:space="preserve">Vnitřní rozměr skříňky (mm)  </v>
      </c>
      <c r="C230">
        <v>102</v>
      </c>
      <c r="M230" s="134" t="s">
        <v>633</v>
      </c>
      <c r="N230" s="72" t="s">
        <v>631</v>
      </c>
      <c r="O230" s="72" t="s">
        <v>643</v>
      </c>
      <c r="P230" s="72" t="s">
        <v>651</v>
      </c>
    </row>
    <row r="231" spans="2:16">
      <c r="B231" s="132" t="str">
        <f t="shared" si="14"/>
        <v>Počet dvířek</v>
      </c>
      <c r="C231">
        <v>103</v>
      </c>
      <c r="M231" s="134" t="s">
        <v>406</v>
      </c>
      <c r="N231" s="72" t="s">
        <v>632</v>
      </c>
      <c r="O231" s="72" t="s">
        <v>644</v>
      </c>
      <c r="P231" s="134" t="s">
        <v>652</v>
      </c>
    </row>
    <row r="232" spans="2:16">
      <c r="B232" s="132" t="str">
        <f t="shared" si="14"/>
        <v>Zde jsou uvedeny standardní přesahy dvířek</v>
      </c>
      <c r="C232">
        <v>104</v>
      </c>
      <c r="M232" s="134" t="s">
        <v>844</v>
      </c>
      <c r="N232" s="137" t="s">
        <v>634</v>
      </c>
      <c r="O232" s="72" t="s">
        <v>845</v>
      </c>
      <c r="P232" s="134" t="s">
        <v>846</v>
      </c>
    </row>
    <row r="233" spans="2:16">
      <c r="B233" s="132" t="str">
        <f t="shared" si="14"/>
        <v>barva</v>
      </c>
      <c r="C233">
        <v>105</v>
      </c>
      <c r="M233" s="134" t="s">
        <v>385</v>
      </c>
      <c r="N233" s="72" t="s">
        <v>635</v>
      </c>
      <c r="O233" s="72" t="s">
        <v>645</v>
      </c>
      <c r="P233" s="134" t="s">
        <v>653</v>
      </c>
    </row>
    <row r="234" spans="2:16">
      <c r="B234" s="133" t="str">
        <f t="shared" si="14"/>
        <v>Objednávka ALU</v>
      </c>
      <c r="C234">
        <v>106</v>
      </c>
      <c r="M234" s="134" t="s">
        <v>628</v>
      </c>
      <c r="N234" s="72" t="s">
        <v>628</v>
      </c>
      <c r="O234" s="72" t="s">
        <v>646</v>
      </c>
      <c r="P234" s="134" t="s">
        <v>654</v>
      </c>
    </row>
    <row r="235" spans="2:16">
      <c r="B235" s="133" t="str">
        <f t="shared" si="14"/>
        <v>Posuvné rámečky</v>
      </c>
      <c r="C235">
        <v>107</v>
      </c>
      <c r="M235" s="134" t="s">
        <v>20</v>
      </c>
      <c r="N235" s="135" t="s">
        <v>637</v>
      </c>
      <c r="O235" s="72" t="s">
        <v>642</v>
      </c>
      <c r="P235" s="72" t="s">
        <v>649</v>
      </c>
    </row>
    <row r="236" spans="2:16">
      <c r="B236" s="133" t="str">
        <f t="shared" si="14"/>
        <v>Barvy LACOBEL A MATELAC</v>
      </c>
      <c r="C236">
        <v>108</v>
      </c>
      <c r="M236" s="134" t="s">
        <v>629</v>
      </c>
      <c r="N236" s="72" t="s">
        <v>638</v>
      </c>
      <c r="O236" s="72" t="s">
        <v>647</v>
      </c>
      <c r="P236" s="134" t="s">
        <v>655</v>
      </c>
    </row>
    <row r="237" spans="2:16">
      <c r="B237" s="132" t="str">
        <f t="shared" si="14"/>
        <v>20L3200</v>
      </c>
      <c r="C237">
        <v>109</v>
      </c>
      <c r="M237" s="119" t="s">
        <v>657</v>
      </c>
      <c r="N237" s="119" t="s">
        <v>657</v>
      </c>
      <c r="O237" s="119" t="s">
        <v>657</v>
      </c>
      <c r="P237" s="119" t="s">
        <v>657</v>
      </c>
    </row>
    <row r="238" spans="2:16">
      <c r="B238" s="132" t="str">
        <f t="shared" si="14"/>
        <v>20L3500</v>
      </c>
      <c r="C238">
        <v>110</v>
      </c>
      <c r="M238" s="119" t="s">
        <v>658</v>
      </c>
      <c r="N238" s="119" t="s">
        <v>658</v>
      </c>
      <c r="O238" s="119" t="s">
        <v>658</v>
      </c>
      <c r="P238" s="119" t="s">
        <v>658</v>
      </c>
    </row>
    <row r="239" spans="2:16">
      <c r="B239" s="132" t="str">
        <f t="shared" si="14"/>
        <v>20L3800</v>
      </c>
      <c r="C239">
        <v>111</v>
      </c>
      <c r="M239" s="119" t="s">
        <v>659</v>
      </c>
      <c r="N239" s="119" t="s">
        <v>659</v>
      </c>
      <c r="O239" s="119" t="s">
        <v>659</v>
      </c>
      <c r="P239" s="119" t="s">
        <v>659</v>
      </c>
    </row>
    <row r="240" spans="2:16">
      <c r="B240" s="132" t="str">
        <f t="shared" si="14"/>
        <v>20L3900</v>
      </c>
      <c r="C240">
        <v>112</v>
      </c>
      <c r="M240" s="119" t="s">
        <v>660</v>
      </c>
      <c r="N240" s="119" t="s">
        <v>660</v>
      </c>
      <c r="O240" s="119" t="s">
        <v>660</v>
      </c>
      <c r="P240" s="119" t="s">
        <v>660</v>
      </c>
    </row>
    <row r="241" spans="2:16">
      <c r="B241" s="132" t="str">
        <f t="shared" si="14"/>
        <v>Typ ramene</v>
      </c>
      <c r="C241">
        <v>113</v>
      </c>
      <c r="M241" s="119" t="s">
        <v>661</v>
      </c>
      <c r="N241" s="119" t="s">
        <v>664</v>
      </c>
      <c r="O241" s="119" t="s">
        <v>665</v>
      </c>
      <c r="P241" s="119" t="s">
        <v>666</v>
      </c>
    </row>
    <row r="242" spans="2:16">
      <c r="B242" s="132" t="str">
        <f t="shared" si="14"/>
        <v>Hmotnost úchytky (g)</v>
      </c>
      <c r="C242">
        <v>114</v>
      </c>
      <c r="M242" s="119" t="s">
        <v>662</v>
      </c>
      <c r="N242" s="119" t="s">
        <v>667</v>
      </c>
      <c r="O242" s="119" t="s">
        <v>668</v>
      </c>
      <c r="P242" s="119" t="s">
        <v>669</v>
      </c>
    </row>
    <row r="243" spans="2:16">
      <c r="B243" s="132" t="str">
        <f t="shared" si="14"/>
        <v>Typy profilů</v>
      </c>
      <c r="C243">
        <v>115</v>
      </c>
      <c r="M243" s="119" t="s">
        <v>663</v>
      </c>
      <c r="N243" s="72" t="s">
        <v>670</v>
      </c>
      <c r="O243" s="72" t="s">
        <v>671</v>
      </c>
      <c r="P243" s="72" t="s">
        <v>672</v>
      </c>
    </row>
    <row r="244" spans="2:16">
      <c r="B244" s="132" t="str">
        <f t="shared" si="14"/>
        <v>AVENTOS HF Servo Drive</v>
      </c>
      <c r="C244">
        <v>116</v>
      </c>
      <c r="M244" s="134" t="s">
        <v>742</v>
      </c>
      <c r="N244" s="134" t="s">
        <v>742</v>
      </c>
      <c r="O244" s="134" t="s">
        <v>742</v>
      </c>
      <c r="P244" s="134" t="s">
        <v>742</v>
      </c>
    </row>
    <row r="245" spans="2:16">
      <c r="B245" s="132" t="str">
        <f t="shared" si="14"/>
        <v>AVENTOS HK TOP TIP ON</v>
      </c>
      <c r="C245">
        <v>117</v>
      </c>
      <c r="M245" s="134" t="s">
        <v>1689</v>
      </c>
      <c r="N245" s="134" t="s">
        <v>1689</v>
      </c>
      <c r="O245" s="134" t="s">
        <v>1689</v>
      </c>
      <c r="P245" s="134" t="s">
        <v>1689</v>
      </c>
    </row>
    <row r="246" spans="2:16">
      <c r="B246" s="132" t="str">
        <f t="shared" si="14"/>
        <v>AVENTOS HKS TIP ON</v>
      </c>
      <c r="C246">
        <v>118</v>
      </c>
      <c r="M246" s="134" t="s">
        <v>743</v>
      </c>
      <c r="N246" s="134" t="s">
        <v>743</v>
      </c>
      <c r="O246" s="134" t="s">
        <v>743</v>
      </c>
      <c r="P246" s="134" t="s">
        <v>743</v>
      </c>
    </row>
    <row r="247" spans="2:16">
      <c r="B247" s="132" t="str">
        <f t="shared" si="14"/>
        <v>AVENTOS HK TOP Servo Drive</v>
      </c>
      <c r="C247">
        <v>119</v>
      </c>
      <c r="M247" s="134" t="s">
        <v>1688</v>
      </c>
      <c r="N247" s="134" t="s">
        <v>1688</v>
      </c>
      <c r="O247" s="134" t="s">
        <v>1688</v>
      </c>
      <c r="P247" s="134" t="s">
        <v>1688</v>
      </c>
    </row>
    <row r="248" spans="2:16">
      <c r="B248" s="132" t="str">
        <f t="shared" si="14"/>
        <v>AVENTOS HL Servo Drive</v>
      </c>
      <c r="C248">
        <v>120</v>
      </c>
      <c r="M248" s="134" t="s">
        <v>744</v>
      </c>
      <c r="N248" s="134" t="s">
        <v>744</v>
      </c>
      <c r="O248" s="134" t="s">
        <v>744</v>
      </c>
      <c r="P248" s="134" t="s">
        <v>744</v>
      </c>
    </row>
    <row r="249" spans="2:16">
      <c r="B249" s="132" t="str">
        <f t="shared" si="14"/>
        <v>AVENTOS HS Servo Drive</v>
      </c>
      <c r="C249">
        <v>121</v>
      </c>
      <c r="M249" s="134" t="s">
        <v>745</v>
      </c>
      <c r="N249" s="134" t="s">
        <v>745</v>
      </c>
      <c r="O249" s="134" t="s">
        <v>745</v>
      </c>
      <c r="P249" s="134" t="s">
        <v>745</v>
      </c>
    </row>
    <row r="250" spans="2:16">
      <c r="B250" s="132" t="str">
        <f t="shared" si="14"/>
        <v>spodní</v>
      </c>
      <c r="C250">
        <v>122</v>
      </c>
      <c r="M250" s="134" t="s">
        <v>799</v>
      </c>
      <c r="N250" s="72" t="s">
        <v>800</v>
      </c>
      <c r="O250" s="72" t="s">
        <v>801</v>
      </c>
      <c r="P250" s="72" t="s">
        <v>802</v>
      </c>
    </row>
    <row r="251" spans="2:16">
      <c r="B251" s="132" t="str">
        <f t="shared" si="14"/>
        <v>Minimální vzdálenost umístění závěsů</v>
      </c>
      <c r="C251">
        <v>123</v>
      </c>
      <c r="M251" s="119" t="s">
        <v>804</v>
      </c>
      <c r="N251" s="72" t="s">
        <v>857</v>
      </c>
      <c r="O251" s="72" t="s">
        <v>872</v>
      </c>
      <c r="P251" s="72" t="s">
        <v>873</v>
      </c>
    </row>
    <row r="252" spans="2:16">
      <c r="B252" s="132" t="str">
        <f t="shared" si="14"/>
        <v>Naložený s integr. Blumotionem</v>
      </c>
      <c r="C252">
        <v>124</v>
      </c>
      <c r="M252" s="134" t="s">
        <v>806</v>
      </c>
      <c r="N252" s="72" t="s">
        <v>858</v>
      </c>
      <c r="O252" s="72" t="s">
        <v>874</v>
      </c>
      <c r="P252" s="72" t="s">
        <v>875</v>
      </c>
    </row>
    <row r="253" spans="2:16">
      <c r="B253" s="132" t="str">
        <f t="shared" si="14"/>
        <v>Standardní vrtání otvorů pro závěsy u všech typů kování Aventos HF, je 100 mm od kraje.</v>
      </c>
      <c r="C253">
        <v>125</v>
      </c>
      <c r="M253" s="13" t="s">
        <v>850</v>
      </c>
      <c r="N253" t="s">
        <v>859</v>
      </c>
      <c r="O253" t="s">
        <v>1673</v>
      </c>
      <c r="P253" t="s">
        <v>876</v>
      </c>
    </row>
    <row r="254" spans="2:16">
      <c r="B254" s="132" t="str">
        <f t="shared" si="14"/>
        <v>Standardní průměr otvorů pro úchytky je ve skle 7 mm a v rámečku 5 mm (distanční podložky jsou součástí balení).</v>
      </c>
      <c r="C254">
        <v>126</v>
      </c>
      <c r="M254" s="12" t="s">
        <v>810</v>
      </c>
      <c r="N254" t="s">
        <v>860</v>
      </c>
      <c r="O254" t="s">
        <v>877</v>
      </c>
      <c r="P254" t="s">
        <v>878</v>
      </c>
    </row>
    <row r="255" spans="2:16">
      <c r="B255" s="132" t="str">
        <f t="shared" si="14"/>
        <v xml:space="preserve">Pokud je váš požadavek jiný než je uvedeno výše, uveďte ho do poznámky. </v>
      </c>
      <c r="C255">
        <v>127</v>
      </c>
      <c r="M255" s="12" t="s">
        <v>811</v>
      </c>
      <c r="N255" t="s">
        <v>861</v>
      </c>
      <c r="O255" t="s">
        <v>879</v>
      </c>
      <c r="P255" t="s">
        <v>880</v>
      </c>
    </row>
    <row r="256" spans="2:16">
      <c r="B256" s="132" t="str">
        <f t="shared" si="14"/>
        <v>U určitých typů úchytek jsou závity pro šrouby zapuštěné a je nutné použít vhodné distanční podložky.</v>
      </c>
      <c r="C256">
        <v>128</v>
      </c>
      <c r="M256" s="12" t="s">
        <v>815</v>
      </c>
      <c r="N256" t="s">
        <v>862</v>
      </c>
      <c r="O256" t="s">
        <v>1674</v>
      </c>
      <c r="P256" t="s">
        <v>1667</v>
      </c>
    </row>
    <row r="257" spans="2:16">
      <c r="B257" s="132" t="str">
        <f t="shared" si="14"/>
        <v>Reklamace spojené s poškozením nelze uplatnit, pokud byl rámeček již namontován.</v>
      </c>
      <c r="C257">
        <v>129</v>
      </c>
      <c r="M257" s="12" t="s">
        <v>812</v>
      </c>
      <c r="N257" t="s">
        <v>863</v>
      </c>
      <c r="O257" t="s">
        <v>881</v>
      </c>
      <c r="P257" t="s">
        <v>882</v>
      </c>
    </row>
    <row r="258" spans="2:16">
      <c r="B258" s="132" t="str">
        <f t="shared" si="14"/>
        <v xml:space="preserve">Pro připevnění kování do ALU rámečku, je nutné používat vruty pro toto určené (např. kód 13681). </v>
      </c>
      <c r="C258">
        <v>130</v>
      </c>
      <c r="M258" s="12" t="s">
        <v>813</v>
      </c>
      <c r="N258" t="s">
        <v>864</v>
      </c>
      <c r="O258" t="s">
        <v>1675</v>
      </c>
      <c r="P258" t="s">
        <v>883</v>
      </c>
    </row>
    <row r="259" spans="2:16">
      <c r="B259" s="132" t="str">
        <f t="shared" si="14"/>
        <v>Vždy používejte aktuální verzi formuláře, který je dostupný na našich stánkách.</v>
      </c>
      <c r="C259">
        <v>131</v>
      </c>
      <c r="M259" s="12" t="s">
        <v>820</v>
      </c>
      <c r="N259" t="s">
        <v>865</v>
      </c>
      <c r="O259" t="s">
        <v>884</v>
      </c>
      <c r="P259" t="s">
        <v>885</v>
      </c>
    </row>
    <row r="260" spans="2:16">
      <c r="B260" s="132"/>
      <c r="C260">
        <v>132</v>
      </c>
    </row>
    <row r="261" spans="2:16">
      <c r="B261" s="13" t="str">
        <f t="shared" ref="B261:B324" si="15">IF($D$1=1,M261,IF($D$1=2,N261,IF($D$1=3,O261,IF($D$1=4,P261,0))))</f>
        <v xml:space="preserve">Objednávka může obsahovat i více typů (rozměrů) rámečků najednou, přičemž se taková objednávka bere jako platná. Proto doporučujeme před odeslání zkontrolovat formulář, zda obsahuje pouze vámi požadované rámečky.     </v>
      </c>
      <c r="C261">
        <v>133</v>
      </c>
      <c r="M261" s="12" t="s">
        <v>814</v>
      </c>
      <c r="N261" t="s">
        <v>886</v>
      </c>
      <c r="O261" t="s">
        <v>1676</v>
      </c>
      <c r="P261" t="s">
        <v>887</v>
      </c>
    </row>
    <row r="262" spans="2:16">
      <c r="B262" s="13" t="str">
        <f t="shared" si="15"/>
        <v>Formulář obsahuje několik listů, mezi kterými je možné se přepínat ve spodní části.</v>
      </c>
      <c r="C262">
        <v>134</v>
      </c>
      <c r="M262" s="12" t="s">
        <v>816</v>
      </c>
      <c r="N262" t="s">
        <v>888</v>
      </c>
      <c r="O262" t="s">
        <v>889</v>
      </c>
      <c r="P262" t="s">
        <v>890</v>
      </c>
    </row>
    <row r="263" spans="2:16">
      <c r="B263" s="13" t="str">
        <f t="shared" si="15"/>
        <v xml:space="preserve">Vyplňte prosím vaše kontaktní údaje a poté klikněte na požadované políčko níže. </v>
      </c>
      <c r="C263">
        <v>135</v>
      </c>
      <c r="M263" s="12" t="s">
        <v>962</v>
      </c>
      <c r="N263" t="s">
        <v>891</v>
      </c>
      <c r="O263" t="s">
        <v>892</v>
      </c>
      <c r="P263" t="s">
        <v>893</v>
      </c>
    </row>
    <row r="264" spans="2:16">
      <c r="B264" s="13" t="str">
        <f t="shared" si="15"/>
        <v>Vyplněním kontaktních údajů vyjadřujete současně souhlas, že jste se seznámil s informacemi uvedenými níže!</v>
      </c>
      <c r="C264">
        <v>136</v>
      </c>
      <c r="M264" s="12" t="s">
        <v>848</v>
      </c>
      <c r="N264" t="s">
        <v>894</v>
      </c>
      <c r="O264" t="s">
        <v>895</v>
      </c>
      <c r="P264" t="s">
        <v>896</v>
      </c>
    </row>
    <row r="265" spans="2:16">
      <c r="B265" s="13" t="str">
        <f t="shared" si="15"/>
        <v>Běžné rámečky</v>
      </c>
      <c r="C265">
        <v>137</v>
      </c>
      <c r="M265" s="12" t="s">
        <v>817</v>
      </c>
      <c r="N265" t="s">
        <v>897</v>
      </c>
      <c r="O265" t="s">
        <v>898</v>
      </c>
      <c r="P265" t="s">
        <v>899</v>
      </c>
    </row>
    <row r="266" spans="2:16">
      <c r="B266" s="13" t="str">
        <f t="shared" si="15"/>
        <v>Posuvné rámečky</v>
      </c>
      <c r="C266">
        <v>138</v>
      </c>
      <c r="M266" s="12" t="s">
        <v>20</v>
      </c>
      <c r="N266" t="s">
        <v>637</v>
      </c>
      <c r="O266" t="s">
        <v>900</v>
      </c>
      <c r="P266" t="s">
        <v>901</v>
      </c>
    </row>
    <row r="267" spans="2:16">
      <c r="B267" s="13" t="str">
        <f t="shared" si="15"/>
        <v>Nákresy profilů a spoj. kování</v>
      </c>
      <c r="C267">
        <v>139</v>
      </c>
      <c r="M267" s="12" t="s">
        <v>818</v>
      </c>
      <c r="N267" t="s">
        <v>902</v>
      </c>
      <c r="O267" t="s">
        <v>903</v>
      </c>
      <c r="P267" t="s">
        <v>904</v>
      </c>
    </row>
    <row r="268" spans="2:16">
      <c r="B268" s="13" t="str">
        <f t="shared" si="15"/>
        <v>Maximální doporučený rozměr rámečku je 2000 x 600 mm (v případě rámečků s nalepeným sklem 1800 x 600 mm)</v>
      </c>
      <c r="C268">
        <v>140</v>
      </c>
      <c r="M268" s="12" t="s">
        <v>821</v>
      </c>
      <c r="N268" t="s">
        <v>905</v>
      </c>
      <c r="O268" t="s">
        <v>1677</v>
      </c>
      <c r="P268" t="s">
        <v>906</v>
      </c>
    </row>
    <row r="269" spans="2:16">
      <c r="B269" s="13" t="str">
        <f t="shared" si="15"/>
        <v xml:space="preserve">Na požadavek zákazníka, je možné dodat rámečky s maximální délkou profilu 3m. Maximální rozměr skla je v tomto případě 2500 x 1300 mm. </v>
      </c>
      <c r="C269">
        <v>141</v>
      </c>
      <c r="M269" s="12" t="s">
        <v>963</v>
      </c>
      <c r="N269" t="s">
        <v>907</v>
      </c>
      <c r="O269" t="s">
        <v>908</v>
      </c>
      <c r="P269" t="s">
        <v>909</v>
      </c>
    </row>
    <row r="270" spans="2:16">
      <c r="B270" s="13" t="str">
        <f t="shared" si="15"/>
        <v>Všechny skla Lacobel a Matelac je možné podlepit bezpečnostní fólií (v případě potřeby uveďte do poznámky)</v>
      </c>
      <c r="C270">
        <v>142</v>
      </c>
      <c r="M270" s="12" t="s">
        <v>822</v>
      </c>
      <c r="N270" t="s">
        <v>910</v>
      </c>
      <c r="O270" t="s">
        <v>1678</v>
      </c>
      <c r="P270" t="s">
        <v>911</v>
      </c>
    </row>
    <row r="271" spans="2:16">
      <c r="B271" s="13" t="str">
        <f t="shared" si="15"/>
        <v xml:space="preserve">Vyplněnou objednávku zašlete na adresu </v>
      </c>
      <c r="C271">
        <v>143</v>
      </c>
      <c r="M271" s="12" t="s">
        <v>823</v>
      </c>
      <c r="N271" t="s">
        <v>912</v>
      </c>
      <c r="O271" t="s">
        <v>913</v>
      </c>
      <c r="P271" t="s">
        <v>914</v>
      </c>
    </row>
    <row r="272" spans="2:16">
      <c r="B272" s="13" t="str">
        <f t="shared" si="15"/>
        <v>objednavky@demos-trade.com</v>
      </c>
      <c r="C272">
        <v>144</v>
      </c>
      <c r="M272" s="143" t="s">
        <v>826</v>
      </c>
      <c r="N272" s="142" t="s">
        <v>826</v>
      </c>
      <c r="O272" s="142" t="s">
        <v>824</v>
      </c>
      <c r="P272" s="142" t="s">
        <v>825</v>
      </c>
    </row>
    <row r="273" spans="2:16">
      <c r="B273" s="13" t="str">
        <f t="shared" si="15"/>
        <v>Nákresy profilů</v>
      </c>
      <c r="C273">
        <v>145</v>
      </c>
      <c r="M273" s="12" t="s">
        <v>827</v>
      </c>
      <c r="N273" t="s">
        <v>915</v>
      </c>
      <c r="O273" t="s">
        <v>916</v>
      </c>
      <c r="P273" t="s">
        <v>917</v>
      </c>
    </row>
    <row r="274" spans="2:16">
      <c r="B274" s="13" t="str">
        <f t="shared" si="15"/>
        <v>Sada kování na úzký rámeček H27AL (88630)</v>
      </c>
      <c r="C274">
        <v>146</v>
      </c>
      <c r="M274" s="12" t="s">
        <v>829</v>
      </c>
      <c r="N274" t="s">
        <v>918</v>
      </c>
      <c r="O274" t="s">
        <v>919</v>
      </c>
      <c r="P274" t="s">
        <v>920</v>
      </c>
    </row>
    <row r="275" spans="2:16">
      <c r="B275" s="13" t="str">
        <f t="shared" si="15"/>
        <v>Sada kování na široký rámeček H37AL (88631)</v>
      </c>
      <c r="C275">
        <v>147</v>
      </c>
      <c r="M275" s="12" t="s">
        <v>830</v>
      </c>
      <c r="N275" t="s">
        <v>921</v>
      </c>
      <c r="O275" t="s">
        <v>922</v>
      </c>
      <c r="P275" t="s">
        <v>923</v>
      </c>
    </row>
    <row r="276" spans="2:16">
      <c r="B276" s="13" t="str">
        <f t="shared" si="15"/>
        <v>Výška rámečku je standardně o 6 mm menší, než uvedená vnitřní výška skříňky.</v>
      </c>
      <c r="C276">
        <v>148</v>
      </c>
      <c r="M276" s="12" t="s">
        <v>828</v>
      </c>
      <c r="N276" t="s">
        <v>924</v>
      </c>
      <c r="O276" t="s">
        <v>1679</v>
      </c>
      <c r="P276" t="s">
        <v>925</v>
      </c>
    </row>
    <row r="277" spans="2:16">
      <c r="B277" s="13" t="str">
        <f t="shared" si="15"/>
        <v>Standardně jsou rámečky připraveny pro posuvné kování H27AL (nosnost 25 kg na rámeček) a H37AL (nosnost 35 kg na rámeček)</v>
      </c>
      <c r="C277">
        <v>149</v>
      </c>
      <c r="M277" s="12" t="s">
        <v>831</v>
      </c>
      <c r="N277" t="s">
        <v>926</v>
      </c>
      <c r="O277" t="s">
        <v>1680</v>
      </c>
      <c r="P277" t="s">
        <v>927</v>
      </c>
    </row>
    <row r="278" spans="2:16">
      <c r="B278" s="13" t="str">
        <f t="shared" si="15"/>
        <v>Horní vedení délka 2 m (87313)</v>
      </c>
      <c r="C278">
        <v>150</v>
      </c>
      <c r="M278" s="12" t="s">
        <v>832</v>
      </c>
      <c r="N278" t="s">
        <v>928</v>
      </c>
      <c r="O278" t="s">
        <v>929</v>
      </c>
      <c r="P278" t="s">
        <v>930</v>
      </c>
    </row>
    <row r="279" spans="2:16">
      <c r="B279" s="13" t="str">
        <f t="shared" si="15"/>
        <v>Spodní vedení délka 2 m (87315)</v>
      </c>
      <c r="C279">
        <v>151</v>
      </c>
      <c r="M279" s="12" t="s">
        <v>834</v>
      </c>
      <c r="N279" t="s">
        <v>931</v>
      </c>
      <c r="O279" t="s">
        <v>932</v>
      </c>
      <c r="P279" t="s">
        <v>933</v>
      </c>
    </row>
    <row r="280" spans="2:16">
      <c r="B280" s="13" t="str">
        <f t="shared" si="15"/>
        <v>Horní vedení délka 3 m (87312)</v>
      </c>
      <c r="C280">
        <v>152</v>
      </c>
      <c r="M280" s="12" t="s">
        <v>833</v>
      </c>
      <c r="N280" t="s">
        <v>934</v>
      </c>
      <c r="O280" t="s">
        <v>935</v>
      </c>
      <c r="P280" t="s">
        <v>936</v>
      </c>
    </row>
    <row r="281" spans="2:16">
      <c r="B281" s="13" t="str">
        <f t="shared" si="15"/>
        <v>Spodní vedení délka 3 m (87314)</v>
      </c>
      <c r="C281">
        <v>153</v>
      </c>
      <c r="M281" s="12" t="s">
        <v>835</v>
      </c>
      <c r="N281" t="s">
        <v>937</v>
      </c>
      <c r="O281" t="s">
        <v>938</v>
      </c>
      <c r="P281" t="s">
        <v>939</v>
      </c>
    </row>
    <row r="282" spans="2:16">
      <c r="B282" s="13" t="str">
        <f t="shared" si="15"/>
        <v>Jiný požadavek (ks)</v>
      </c>
      <c r="C282">
        <v>154</v>
      </c>
      <c r="M282" s="12" t="s">
        <v>843</v>
      </c>
      <c r="N282" t="s">
        <v>940</v>
      </c>
      <c r="O282" t="s">
        <v>941</v>
      </c>
      <c r="P282" t="s">
        <v>942</v>
      </c>
    </row>
    <row r="283" spans="2:16">
      <c r="B283" s="13" t="str">
        <f t="shared" si="15"/>
        <v>Množství (ks)</v>
      </c>
      <c r="C283">
        <v>155</v>
      </c>
      <c r="M283" s="12" t="s">
        <v>847</v>
      </c>
      <c r="N283" t="s">
        <v>943</v>
      </c>
      <c r="O283" t="s">
        <v>944</v>
      </c>
      <c r="P283" t="s">
        <v>945</v>
      </c>
    </row>
    <row r="284" spans="2:16">
      <c r="B284" s="13" t="str">
        <f t="shared" si="15"/>
        <v>K nadrozměrným rámečkům (nad rozměr 1200 x 800 mm), může být účtován příplatek za speciální balení a dopravu (více informací na zákaznickém centru).</v>
      </c>
      <c r="C284">
        <v>156</v>
      </c>
      <c r="M284" s="12" t="s">
        <v>964</v>
      </c>
      <c r="N284" t="s">
        <v>946</v>
      </c>
      <c r="O284" t="s">
        <v>947</v>
      </c>
      <c r="P284" t="s">
        <v>948</v>
      </c>
    </row>
    <row r="285" spans="2:16">
      <c r="B285" s="13" t="str">
        <f t="shared" si="15"/>
        <v xml:space="preserve">Vhodné rozměry rámečku pro konkrétní typ kování je nutné ověřit před zadáním do objednávky (Aventplan, katalog, …), formulář nemá nastaveny omezení. </v>
      </c>
      <c r="C285">
        <v>157</v>
      </c>
      <c r="M285" s="12" t="s">
        <v>849</v>
      </c>
      <c r="N285" t="s">
        <v>949</v>
      </c>
      <c r="O285" t="s">
        <v>1681</v>
      </c>
      <c r="P285" t="s">
        <v>950</v>
      </c>
    </row>
    <row r="286" spans="2:16">
      <c r="B286" s="13" t="str">
        <f t="shared" si="15"/>
        <v>Vzorkovník skel je možné objednat pod kódy Lacebel VZK003P a Matelac VZK004P.</v>
      </c>
      <c r="C286">
        <v>158</v>
      </c>
      <c r="M286" s="12" t="s">
        <v>851</v>
      </c>
      <c r="N286" t="s">
        <v>952</v>
      </c>
      <c r="O286" t="s">
        <v>951</v>
      </c>
      <c r="P286" t="s">
        <v>953</v>
      </c>
    </row>
    <row r="287" spans="2:16">
      <c r="B287" s="13" t="str">
        <f t="shared" si="15"/>
        <v xml:space="preserve">Cena za posuvné rámečky je shodná jako cena za běžné rámečky. </v>
      </c>
      <c r="C287">
        <v>159</v>
      </c>
      <c r="M287" s="12" t="s">
        <v>961</v>
      </c>
      <c r="N287" t="s">
        <v>966</v>
      </c>
      <c r="O287" t="s">
        <v>965</v>
      </c>
      <c r="P287" t="s">
        <v>970</v>
      </c>
    </row>
    <row r="288" spans="2:16">
      <c r="B288" s="13" t="str">
        <f t="shared" si="15"/>
        <v>Pokud je úchytka připevněna skrz sklo, je nutné vždy použít distanční podložku (např. 144516, 191970, C0315)</v>
      </c>
      <c r="C288">
        <v>160</v>
      </c>
      <c r="M288" s="12" t="s">
        <v>1682</v>
      </c>
      <c r="N288" t="s">
        <v>1683</v>
      </c>
      <c r="O288" t="s">
        <v>1684</v>
      </c>
      <c r="P288" t="s">
        <v>1685</v>
      </c>
    </row>
    <row r="289" spans="1:16">
      <c r="B289" s="13" t="str">
        <f t="shared" si="15"/>
        <v>Uvedené nákresy dvířek jsou znázorněny při pohledu z přední strany.</v>
      </c>
      <c r="C289">
        <v>161</v>
      </c>
      <c r="M289" s="12" t="s">
        <v>1009</v>
      </c>
      <c r="N289" t="s">
        <v>1374</v>
      </c>
      <c r="O289" t="s">
        <v>1686</v>
      </c>
      <c r="P289" t="s">
        <v>1666</v>
      </c>
    </row>
    <row r="290" spans="1:16">
      <c r="B290" s="13" t="str">
        <f t="shared" si="15"/>
        <v>Nadrozměrný rámeček, může být účtováno vyšší dopravné</v>
      </c>
      <c r="C290">
        <v>162</v>
      </c>
      <c r="M290" s="12" t="s">
        <v>1010</v>
      </c>
      <c r="N290" t="s">
        <v>1011</v>
      </c>
      <c r="O290" t="s">
        <v>1012</v>
      </c>
      <c r="P290" t="s">
        <v>1013</v>
      </c>
    </row>
    <row r="291" spans="1:16">
      <c r="B291" s="13" t="str">
        <f t="shared" si="15"/>
        <v>Umístění ramene</v>
      </c>
      <c r="C291">
        <v>163</v>
      </c>
      <c r="M291" s="12" t="s">
        <v>1055</v>
      </c>
      <c r="N291" t="s">
        <v>1375</v>
      </c>
      <c r="O291" t="s">
        <v>1373</v>
      </c>
      <c r="P291" t="s">
        <v>1376</v>
      </c>
    </row>
    <row r="292" spans="1:16">
      <c r="B292" s="13" t="str">
        <f t="shared" si="15"/>
        <v>Maximální možný rozměr rámečku je 2500x1300mm</v>
      </c>
      <c r="C292">
        <v>164</v>
      </c>
      <c r="M292" s="12" t="s">
        <v>1212</v>
      </c>
      <c r="N292" t="s">
        <v>1220</v>
      </c>
      <c r="O292" t="s">
        <v>1221</v>
      </c>
      <c r="P292" t="s">
        <v>1222</v>
      </c>
    </row>
    <row r="293" spans="1:16">
      <c r="B293" s="13" t="str">
        <f t="shared" si="15"/>
        <v>Minimální vzdálenost závěsu od kraje rámečku je 70mm</v>
      </c>
      <c r="C293">
        <v>165</v>
      </c>
      <c r="M293" s="12" t="s">
        <v>1213</v>
      </c>
      <c r="N293" t="s">
        <v>1223</v>
      </c>
      <c r="O293" t="s">
        <v>1224</v>
      </c>
      <c r="P293" t="s">
        <v>1225</v>
      </c>
    </row>
    <row r="294" spans="1:16">
      <c r="B294" s="13" t="str">
        <f t="shared" si="15"/>
        <v>Minimální vzdálenost závěsu od kraje rámečku je 80mm</v>
      </c>
      <c r="C294">
        <v>166</v>
      </c>
      <c r="M294" s="12" t="s">
        <v>1214</v>
      </c>
      <c r="N294" t="s">
        <v>1226</v>
      </c>
      <c r="O294" t="s">
        <v>1227</v>
      </c>
      <c r="P294" t="s">
        <v>1228</v>
      </c>
    </row>
    <row r="295" spans="1:16">
      <c r="A295">
        <v>123517</v>
      </c>
      <c r="B295" s="13" t="str">
        <f t="shared" si="15"/>
        <v>Naložený clip</v>
      </c>
      <c r="C295">
        <v>167</v>
      </c>
      <c r="M295" s="12" t="s">
        <v>121</v>
      </c>
      <c r="N295" t="s">
        <v>121</v>
      </c>
      <c r="O295" t="s">
        <v>481</v>
      </c>
      <c r="P295" t="s">
        <v>557</v>
      </c>
    </row>
    <row r="296" spans="1:16">
      <c r="A296">
        <v>123518</v>
      </c>
      <c r="B296" s="13" t="str">
        <f t="shared" si="15"/>
        <v>Polonaložený clip</v>
      </c>
      <c r="C296">
        <v>168</v>
      </c>
      <c r="M296" s="12" t="s">
        <v>122</v>
      </c>
      <c r="N296" t="s">
        <v>122</v>
      </c>
      <c r="O296" t="s">
        <v>482</v>
      </c>
      <c r="P296" t="s">
        <v>558</v>
      </c>
    </row>
    <row r="297" spans="1:16">
      <c r="A297">
        <v>123519</v>
      </c>
      <c r="B297" s="13" t="str">
        <f t="shared" si="15"/>
        <v>Vložený clip</v>
      </c>
      <c r="C297">
        <v>169</v>
      </c>
      <c r="M297" s="12" t="s">
        <v>123</v>
      </c>
      <c r="N297" t="s">
        <v>123</v>
      </c>
      <c r="O297" t="s">
        <v>483</v>
      </c>
      <c r="P297" t="s">
        <v>559</v>
      </c>
    </row>
    <row r="298" spans="1:16">
      <c r="A298">
        <v>92991</v>
      </c>
      <c r="B298" s="13" t="str">
        <f t="shared" si="15"/>
        <v>Úhel 45°</v>
      </c>
      <c r="C298">
        <v>170</v>
      </c>
      <c r="M298" s="12" t="s">
        <v>124</v>
      </c>
      <c r="N298" t="s">
        <v>422</v>
      </c>
      <c r="O298" t="s">
        <v>484</v>
      </c>
      <c r="P298" t="s">
        <v>560</v>
      </c>
    </row>
    <row r="299" spans="1:16">
      <c r="A299">
        <v>92950</v>
      </c>
      <c r="B299" s="13" t="str">
        <f t="shared" si="15"/>
        <v>Naložený</v>
      </c>
      <c r="C299">
        <v>171</v>
      </c>
      <c r="M299" s="12" t="s">
        <v>125</v>
      </c>
      <c r="N299" t="s">
        <v>423</v>
      </c>
      <c r="O299" t="s">
        <v>485</v>
      </c>
      <c r="P299" t="s">
        <v>561</v>
      </c>
    </row>
    <row r="300" spans="1:16">
      <c r="A300">
        <v>92951</v>
      </c>
      <c r="B300" s="13" t="str">
        <f t="shared" si="15"/>
        <v>Polonaložený</v>
      </c>
      <c r="C300">
        <v>172</v>
      </c>
      <c r="M300" s="12" t="s">
        <v>126</v>
      </c>
      <c r="N300" t="s">
        <v>424</v>
      </c>
      <c r="O300" t="s">
        <v>486</v>
      </c>
      <c r="P300" t="s">
        <v>562</v>
      </c>
    </row>
    <row r="301" spans="1:16">
      <c r="A301">
        <v>92952</v>
      </c>
      <c r="B301" s="13" t="str">
        <f t="shared" si="15"/>
        <v>Vložený</v>
      </c>
      <c r="C301">
        <v>173</v>
      </c>
      <c r="M301" s="12" t="s">
        <v>127</v>
      </c>
      <c r="N301" t="s">
        <v>425</v>
      </c>
      <c r="O301" t="s">
        <v>487</v>
      </c>
      <c r="P301" t="s">
        <v>563</v>
      </c>
    </row>
    <row r="302" spans="1:16">
      <c r="A302">
        <v>92957</v>
      </c>
      <c r="B302" s="13" t="str">
        <f t="shared" si="15"/>
        <v>Úhel 45°</v>
      </c>
      <c r="C302">
        <v>174</v>
      </c>
      <c r="M302" s="12" t="s">
        <v>124</v>
      </c>
      <c r="N302" t="s">
        <v>422</v>
      </c>
      <c r="O302" t="s">
        <v>484</v>
      </c>
      <c r="P302" t="s">
        <v>560</v>
      </c>
    </row>
    <row r="303" spans="1:16">
      <c r="A303">
        <v>93000</v>
      </c>
      <c r="B303" s="13" t="str">
        <f t="shared" si="15"/>
        <v>Naložený s opačnou pružinou</v>
      </c>
      <c r="C303">
        <v>175</v>
      </c>
      <c r="M303" s="12" t="s">
        <v>128</v>
      </c>
      <c r="N303" t="s">
        <v>128</v>
      </c>
      <c r="O303" t="s">
        <v>488</v>
      </c>
      <c r="P303" t="s">
        <v>564</v>
      </c>
    </row>
    <row r="304" spans="1:16">
      <c r="A304">
        <v>93903</v>
      </c>
      <c r="B304" s="13" t="str">
        <f t="shared" si="15"/>
        <v>Vložený s opačnou pružinou</v>
      </c>
      <c r="C304">
        <v>176</v>
      </c>
      <c r="M304" s="12" t="s">
        <v>129</v>
      </c>
      <c r="N304" t="s">
        <v>129</v>
      </c>
      <c r="O304" t="s">
        <v>489</v>
      </c>
      <c r="P304" t="s">
        <v>565</v>
      </c>
    </row>
    <row r="305" spans="1:16">
      <c r="A305">
        <v>92975</v>
      </c>
      <c r="B305" s="13" t="str">
        <f t="shared" si="15"/>
        <v>Clip na vrut H2</v>
      </c>
      <c r="C305">
        <v>177</v>
      </c>
      <c r="M305" s="12" t="s">
        <v>212</v>
      </c>
      <c r="N305" t="s">
        <v>426</v>
      </c>
      <c r="O305" t="s">
        <v>490</v>
      </c>
      <c r="P305" t="s">
        <v>566</v>
      </c>
    </row>
    <row r="306" spans="1:16">
      <c r="A306">
        <v>92961</v>
      </c>
      <c r="B306" s="13" t="str">
        <f t="shared" si="15"/>
        <v>Clip na vrut H4</v>
      </c>
      <c r="C306">
        <v>178</v>
      </c>
      <c r="M306" s="12" t="s">
        <v>213</v>
      </c>
      <c r="N306" t="s">
        <v>427</v>
      </c>
      <c r="O306" t="s">
        <v>491</v>
      </c>
      <c r="P306" t="s">
        <v>567</v>
      </c>
    </row>
    <row r="307" spans="1:16">
      <c r="A307">
        <v>92962</v>
      </c>
      <c r="B307" s="13" t="str">
        <f t="shared" si="15"/>
        <v>Clip na eurošroub H2</v>
      </c>
      <c r="C307">
        <v>179</v>
      </c>
      <c r="M307" s="12" t="s">
        <v>214</v>
      </c>
      <c r="N307" t="s">
        <v>428</v>
      </c>
      <c r="O307" t="s">
        <v>492</v>
      </c>
      <c r="P307" t="s">
        <v>568</v>
      </c>
    </row>
    <row r="308" spans="1:16">
      <c r="A308">
        <v>92969</v>
      </c>
      <c r="B308" s="13" t="str">
        <f t="shared" si="15"/>
        <v>Clip na eurošroub H4</v>
      </c>
      <c r="C308">
        <v>180</v>
      </c>
      <c r="M308" s="12" t="s">
        <v>215</v>
      </c>
      <c r="N308" t="s">
        <v>429</v>
      </c>
      <c r="O308" t="s">
        <v>493</v>
      </c>
      <c r="P308" t="s">
        <v>569</v>
      </c>
    </row>
    <row r="309" spans="1:16">
      <c r="A309">
        <v>92960</v>
      </c>
      <c r="B309" s="13" t="str">
        <f t="shared" si="15"/>
        <v>Slide on na vrut H2</v>
      </c>
      <c r="C309">
        <v>181</v>
      </c>
      <c r="M309" s="12" t="s">
        <v>216</v>
      </c>
      <c r="N309" t="s">
        <v>430</v>
      </c>
      <c r="O309" t="s">
        <v>494</v>
      </c>
      <c r="P309" t="s">
        <v>570</v>
      </c>
    </row>
    <row r="310" spans="1:16">
      <c r="A310">
        <v>92961</v>
      </c>
      <c r="B310" s="13" t="str">
        <f t="shared" si="15"/>
        <v>Slide on na vrut H4</v>
      </c>
      <c r="C310">
        <v>182</v>
      </c>
      <c r="M310" s="12" t="s">
        <v>217</v>
      </c>
      <c r="N310" t="s">
        <v>431</v>
      </c>
      <c r="O310" t="s">
        <v>495</v>
      </c>
      <c r="P310" t="s">
        <v>571</v>
      </c>
    </row>
    <row r="311" spans="1:16">
      <c r="A311">
        <v>92962</v>
      </c>
      <c r="B311" s="13" t="str">
        <f t="shared" si="15"/>
        <v>Slide on na eurošroub H2</v>
      </c>
      <c r="C311">
        <v>183</v>
      </c>
      <c r="M311" s="12" t="s">
        <v>218</v>
      </c>
      <c r="N311" t="s">
        <v>432</v>
      </c>
      <c r="O311" t="s">
        <v>496</v>
      </c>
      <c r="P311" t="s">
        <v>572</v>
      </c>
    </row>
    <row r="312" spans="1:16">
      <c r="A312">
        <v>92963</v>
      </c>
      <c r="B312" s="13" t="str">
        <f t="shared" si="15"/>
        <v>Slide on na eurošroub H4</v>
      </c>
      <c r="C312">
        <v>184</v>
      </c>
      <c r="M312" s="12" t="s">
        <v>219</v>
      </c>
      <c r="N312" t="s">
        <v>433</v>
      </c>
      <c r="O312" t="s">
        <v>497</v>
      </c>
      <c r="P312" t="s">
        <v>573</v>
      </c>
    </row>
    <row r="313" spans="1:16">
      <c r="A313">
        <v>92584</v>
      </c>
      <c r="B313" s="13" t="str">
        <f t="shared" si="15"/>
        <v>Naložený clip</v>
      </c>
      <c r="C313">
        <v>185</v>
      </c>
      <c r="M313" s="12" t="s">
        <v>121</v>
      </c>
      <c r="N313" t="s">
        <v>121</v>
      </c>
      <c r="O313" t="s">
        <v>481</v>
      </c>
      <c r="P313" t="s">
        <v>557</v>
      </c>
    </row>
    <row r="314" spans="1:16">
      <c r="A314">
        <v>92585</v>
      </c>
      <c r="B314" s="13" t="str">
        <f t="shared" si="15"/>
        <v>Polonaložený clip</v>
      </c>
      <c r="C314">
        <v>186</v>
      </c>
      <c r="M314" s="12" t="s">
        <v>122</v>
      </c>
      <c r="N314" t="s">
        <v>122</v>
      </c>
      <c r="O314" t="s">
        <v>482</v>
      </c>
      <c r="P314" t="s">
        <v>558</v>
      </c>
    </row>
    <row r="315" spans="1:16">
      <c r="A315">
        <v>92586</v>
      </c>
      <c r="B315" s="13" t="str">
        <f t="shared" si="15"/>
        <v>Vložený clip</v>
      </c>
      <c r="C315">
        <v>187</v>
      </c>
      <c r="M315" s="12" t="s">
        <v>123</v>
      </c>
      <c r="N315" t="s">
        <v>123</v>
      </c>
      <c r="O315" t="s">
        <v>483</v>
      </c>
      <c r="P315" t="s">
        <v>559</v>
      </c>
    </row>
    <row r="316" spans="1:16">
      <c r="A316">
        <v>92588</v>
      </c>
      <c r="B316" s="13" t="str">
        <f t="shared" si="15"/>
        <v>45° clip</v>
      </c>
      <c r="C316">
        <v>188</v>
      </c>
      <c r="M316" s="12" t="s">
        <v>10</v>
      </c>
      <c r="N316" t="s">
        <v>440</v>
      </c>
      <c r="O316" t="s">
        <v>10</v>
      </c>
      <c r="P316" t="s">
        <v>10</v>
      </c>
    </row>
    <row r="317" spans="1:16">
      <c r="A317">
        <v>92597</v>
      </c>
      <c r="B317" s="13" t="str">
        <f t="shared" si="15"/>
        <v xml:space="preserve">StrongHinges Clip na eurošroub H0 </v>
      </c>
      <c r="C317">
        <v>189</v>
      </c>
      <c r="M317" s="12" t="s">
        <v>3679</v>
      </c>
      <c r="N317" t="s">
        <v>3680</v>
      </c>
      <c r="O317" t="s">
        <v>3681</v>
      </c>
      <c r="P317" t="s">
        <v>3682</v>
      </c>
    </row>
    <row r="318" spans="1:16">
      <c r="A318">
        <v>92596</v>
      </c>
      <c r="B318" s="13" t="str">
        <f t="shared" si="15"/>
        <v>StrongHinges Clip na vrut H0</v>
      </c>
      <c r="C318">
        <v>190</v>
      </c>
      <c r="M318" s="12" t="s">
        <v>3684</v>
      </c>
      <c r="N318" t="s">
        <v>3685</v>
      </c>
      <c r="O318" t="s">
        <v>3686</v>
      </c>
      <c r="P318" t="s">
        <v>3687</v>
      </c>
    </row>
    <row r="319" spans="1:16">
      <c r="A319">
        <v>92599</v>
      </c>
      <c r="B319" s="13" t="str">
        <f t="shared" si="15"/>
        <v>StrongHinges Clip na eurošroub H2</v>
      </c>
      <c r="C319">
        <v>191</v>
      </c>
      <c r="M319" s="12" t="s">
        <v>3689</v>
      </c>
      <c r="N319" t="s">
        <v>3690</v>
      </c>
      <c r="O319" t="s">
        <v>3691</v>
      </c>
      <c r="P319" t="s">
        <v>3692</v>
      </c>
    </row>
    <row r="320" spans="1:16">
      <c r="A320">
        <v>92598</v>
      </c>
      <c r="B320" s="13" t="str">
        <f t="shared" si="15"/>
        <v>StrongHinges Clip na vrut H2</v>
      </c>
      <c r="C320">
        <v>192</v>
      </c>
      <c r="M320" s="12" t="s">
        <v>3694</v>
      </c>
      <c r="N320" t="s">
        <v>3695</v>
      </c>
      <c r="O320" t="s">
        <v>3696</v>
      </c>
      <c r="P320" t="s">
        <v>3697</v>
      </c>
    </row>
    <row r="321" spans="1:16">
      <c r="A321" t="s">
        <v>803</v>
      </c>
      <c r="B321" s="13" t="str">
        <f t="shared" si="15"/>
        <v>Naložený clip</v>
      </c>
      <c r="C321">
        <v>193</v>
      </c>
      <c r="M321" s="12" t="s">
        <v>121</v>
      </c>
      <c r="N321" t="s">
        <v>121</v>
      </c>
      <c r="O321" t="s">
        <v>481</v>
      </c>
      <c r="P321" t="s">
        <v>557</v>
      </c>
    </row>
    <row r="322" spans="1:16">
      <c r="A322" t="s">
        <v>114</v>
      </c>
      <c r="B322" s="13" t="str">
        <f t="shared" si="15"/>
        <v>Naložený clip</v>
      </c>
      <c r="C322">
        <v>194</v>
      </c>
      <c r="M322" s="12" t="s">
        <v>121</v>
      </c>
      <c r="N322" t="s">
        <v>121</v>
      </c>
      <c r="O322" t="s">
        <v>481</v>
      </c>
      <c r="P322" t="s">
        <v>557</v>
      </c>
    </row>
    <row r="323" spans="1:16">
      <c r="A323" t="s">
        <v>115</v>
      </c>
      <c r="B323" s="13" t="str">
        <f t="shared" si="15"/>
        <v>Polonaložený clip</v>
      </c>
      <c r="C323">
        <v>195</v>
      </c>
      <c r="M323" s="12" t="s">
        <v>122</v>
      </c>
      <c r="N323" t="s">
        <v>122</v>
      </c>
      <c r="O323" t="s">
        <v>482</v>
      </c>
      <c r="P323" t="s">
        <v>558</v>
      </c>
    </row>
    <row r="324" spans="1:16">
      <c r="A324" t="s">
        <v>116</v>
      </c>
      <c r="B324" s="13" t="str">
        <f t="shared" si="15"/>
        <v>Vložený clip</v>
      </c>
      <c r="C324">
        <v>196</v>
      </c>
      <c r="M324" s="12" t="s">
        <v>123</v>
      </c>
      <c r="N324" t="s">
        <v>123</v>
      </c>
      <c r="O324" t="s">
        <v>483</v>
      </c>
      <c r="P324" t="s">
        <v>559</v>
      </c>
    </row>
    <row r="325" spans="1:16">
      <c r="A325" t="s">
        <v>118</v>
      </c>
      <c r="B325" s="13" t="str">
        <f t="shared" ref="B325:B388" si="16">IF($D$1=1,M325,IF($D$1=2,N325,IF($D$1=3,O325,IF($D$1=4,P325,0))))</f>
        <v>45° clip</v>
      </c>
      <c r="C325">
        <v>197</v>
      </c>
      <c r="M325" s="12" t="s">
        <v>10</v>
      </c>
      <c r="N325" t="s">
        <v>440</v>
      </c>
      <c r="O325" t="s">
        <v>10</v>
      </c>
      <c r="P325" t="s">
        <v>10</v>
      </c>
    </row>
    <row r="326" spans="1:16">
      <c r="A326" t="s">
        <v>119</v>
      </c>
      <c r="B326" s="13" t="str">
        <f t="shared" si="16"/>
        <v xml:space="preserve">Clip na eurošroub H0 </v>
      </c>
      <c r="C326">
        <v>198</v>
      </c>
      <c r="M326" s="12" t="s">
        <v>211</v>
      </c>
      <c r="N326" t="s">
        <v>441</v>
      </c>
      <c r="O326" t="s">
        <v>506</v>
      </c>
      <c r="P326" t="s">
        <v>582</v>
      </c>
    </row>
    <row r="327" spans="1:16">
      <c r="A327" t="s">
        <v>113</v>
      </c>
      <c r="B327" s="13" t="str">
        <f t="shared" si="16"/>
        <v>Clip na vrut H0</v>
      </c>
      <c r="C327">
        <v>199</v>
      </c>
      <c r="M327" s="12" t="s">
        <v>210</v>
      </c>
      <c r="N327" t="s">
        <v>442</v>
      </c>
      <c r="O327" t="s">
        <v>507</v>
      </c>
      <c r="P327" t="s">
        <v>583</v>
      </c>
    </row>
    <row r="328" spans="1:16">
      <c r="A328" t="s">
        <v>146</v>
      </c>
      <c r="B328" s="13" t="str">
        <f t="shared" si="16"/>
        <v>Clip na eurošroub H2</v>
      </c>
      <c r="C328">
        <v>200</v>
      </c>
      <c r="M328" s="12" t="s">
        <v>214</v>
      </c>
      <c r="N328" t="s">
        <v>428</v>
      </c>
      <c r="O328" t="s">
        <v>492</v>
      </c>
      <c r="P328" t="s">
        <v>568</v>
      </c>
    </row>
    <row r="329" spans="1:16">
      <c r="A329">
        <v>104717</v>
      </c>
      <c r="B329" s="13" t="str">
        <f t="shared" si="16"/>
        <v>Sensys naložený tlumený</v>
      </c>
      <c r="C329">
        <v>201</v>
      </c>
      <c r="M329" s="12" t="s">
        <v>1028</v>
      </c>
      <c r="N329" t="s">
        <v>1229</v>
      </c>
      <c r="O329" t="s">
        <v>1230</v>
      </c>
      <c r="P329" t="s">
        <v>1231</v>
      </c>
    </row>
    <row r="330" spans="1:16">
      <c r="A330">
        <v>104718</v>
      </c>
      <c r="B330" s="13" t="str">
        <f t="shared" si="16"/>
        <v>Sensys polonaložený tlumený</v>
      </c>
      <c r="C330">
        <v>202</v>
      </c>
      <c r="M330" s="12" t="s">
        <v>1029</v>
      </c>
      <c r="N330" t="s">
        <v>1232</v>
      </c>
      <c r="O330" t="s">
        <v>1233</v>
      </c>
      <c r="P330" t="s">
        <v>1234</v>
      </c>
    </row>
    <row r="331" spans="1:16">
      <c r="A331">
        <v>104719</v>
      </c>
      <c r="B331" s="13" t="str">
        <f t="shared" si="16"/>
        <v>Sensys vložený tlumený</v>
      </c>
      <c r="C331">
        <v>203</v>
      </c>
      <c r="M331" s="12" t="s">
        <v>1030</v>
      </c>
      <c r="N331" t="s">
        <v>1235</v>
      </c>
      <c r="O331" t="s">
        <v>1236</v>
      </c>
      <c r="P331" t="s">
        <v>1237</v>
      </c>
    </row>
    <row r="332" spans="1:16">
      <c r="A332">
        <v>104802</v>
      </c>
      <c r="B332" s="13" t="str">
        <f t="shared" si="16"/>
        <v>Sensys příložný tlumený</v>
      </c>
      <c r="C332">
        <v>204</v>
      </c>
      <c r="M332" s="12" t="s">
        <v>1032</v>
      </c>
      <c r="N332" t="s">
        <v>1238</v>
      </c>
      <c r="O332" t="s">
        <v>1239</v>
      </c>
      <c r="P332" t="s">
        <v>1240</v>
      </c>
    </row>
    <row r="333" spans="1:16">
      <c r="A333">
        <v>232346</v>
      </c>
      <c r="B333" s="13" t="str">
        <f t="shared" si="16"/>
        <v>Sensys naložený netlumený</v>
      </c>
      <c r="C333">
        <v>205</v>
      </c>
      <c r="M333" s="12" t="s">
        <v>1034</v>
      </c>
      <c r="N333" t="s">
        <v>1241</v>
      </c>
      <c r="O333" t="s">
        <v>1242</v>
      </c>
      <c r="P333" t="s">
        <v>1243</v>
      </c>
    </row>
    <row r="334" spans="1:16">
      <c r="A334">
        <v>104189</v>
      </c>
      <c r="B334" s="13" t="str">
        <f t="shared" si="16"/>
        <v>Intermat naložený</v>
      </c>
      <c r="C334">
        <v>206</v>
      </c>
      <c r="M334" s="12" t="s">
        <v>1037</v>
      </c>
      <c r="N334" t="s">
        <v>1037</v>
      </c>
      <c r="O334" t="s">
        <v>1244</v>
      </c>
      <c r="P334" t="s">
        <v>1245</v>
      </c>
    </row>
    <row r="335" spans="1:16">
      <c r="A335">
        <v>104257</v>
      </c>
      <c r="B335" s="13" t="str">
        <f t="shared" si="16"/>
        <v>Intermat naložený 125°</v>
      </c>
      <c r="C335">
        <v>207</v>
      </c>
      <c r="M335" s="12" t="s">
        <v>1038</v>
      </c>
      <c r="N335" t="s">
        <v>1038</v>
      </c>
      <c r="O335" t="s">
        <v>1246</v>
      </c>
      <c r="P335" t="s">
        <v>1247</v>
      </c>
    </row>
    <row r="336" spans="1:16">
      <c r="A336">
        <v>104190</v>
      </c>
      <c r="B336" s="13" t="str">
        <f t="shared" si="16"/>
        <v>Intermat polonaložený</v>
      </c>
      <c r="C336">
        <v>208</v>
      </c>
      <c r="M336" s="12" t="s">
        <v>1039</v>
      </c>
      <c r="N336" t="s">
        <v>1039</v>
      </c>
      <c r="O336" t="s">
        <v>1248</v>
      </c>
      <c r="P336" t="s">
        <v>1249</v>
      </c>
    </row>
    <row r="337" spans="1:16">
      <c r="A337">
        <v>104191</v>
      </c>
      <c r="B337" s="13" t="str">
        <f t="shared" si="16"/>
        <v>Intermat vložený</v>
      </c>
      <c r="C337">
        <v>209</v>
      </c>
      <c r="M337" s="12" t="s">
        <v>1040</v>
      </c>
      <c r="N337" t="s">
        <v>1040</v>
      </c>
      <c r="O337" t="s">
        <v>1250</v>
      </c>
      <c r="P337" t="s">
        <v>1251</v>
      </c>
    </row>
    <row r="338" spans="1:16">
      <c r="A338">
        <v>104574</v>
      </c>
      <c r="B338" s="13" t="str">
        <f t="shared" si="16"/>
        <v>Intermat příložný</v>
      </c>
      <c r="C338">
        <v>210</v>
      </c>
      <c r="M338" s="12" t="s">
        <v>1046</v>
      </c>
      <c r="N338" t="s">
        <v>1252</v>
      </c>
      <c r="O338" t="s">
        <v>1253</v>
      </c>
      <c r="P338" t="s">
        <v>1254</v>
      </c>
    </row>
    <row r="339" spans="1:16">
      <c r="A339">
        <v>300282</v>
      </c>
      <c r="B339" s="13" t="str">
        <f t="shared" si="16"/>
        <v>Sensys naložený bez tlumení</v>
      </c>
      <c r="C339">
        <v>211</v>
      </c>
      <c r="M339" s="12" t="s">
        <v>1073</v>
      </c>
      <c r="N339" t="s">
        <v>1255</v>
      </c>
      <c r="O339" t="s">
        <v>1242</v>
      </c>
      <c r="P339" t="s">
        <v>1243</v>
      </c>
    </row>
    <row r="340" spans="1:16">
      <c r="A340">
        <v>300284</v>
      </c>
      <c r="B340" s="13" t="str">
        <f t="shared" si="16"/>
        <v>Sensys vložený bez tlumení</v>
      </c>
      <c r="C340">
        <v>212</v>
      </c>
      <c r="M340" s="12" t="s">
        <v>1074</v>
      </c>
      <c r="N340" t="s">
        <v>1256</v>
      </c>
      <c r="O340" t="s">
        <v>1257</v>
      </c>
      <c r="P340" t="s">
        <v>1258</v>
      </c>
    </row>
    <row r="341" spans="1:16">
      <c r="A341">
        <v>300279</v>
      </c>
      <c r="B341" s="13" t="str">
        <f t="shared" si="16"/>
        <v>Sensys naložený tlumený</v>
      </c>
      <c r="C341">
        <v>213</v>
      </c>
      <c r="M341" s="12" t="s">
        <v>1028</v>
      </c>
      <c r="N341" t="s">
        <v>1229</v>
      </c>
      <c r="O341" t="s">
        <v>1230</v>
      </c>
      <c r="P341" t="s">
        <v>1231</v>
      </c>
    </row>
    <row r="342" spans="1:16">
      <c r="A342">
        <v>300281</v>
      </c>
      <c r="B342" s="13" t="str">
        <f t="shared" si="16"/>
        <v>Sensys vložený tlumený</v>
      </c>
      <c r="C342">
        <v>214</v>
      </c>
      <c r="M342" s="12" t="s">
        <v>1030</v>
      </c>
      <c r="N342" t="s">
        <v>1235</v>
      </c>
      <c r="O342" t="s">
        <v>1236</v>
      </c>
      <c r="P342" t="s">
        <v>1237</v>
      </c>
    </row>
    <row r="343" spans="1:16">
      <c r="A343">
        <v>300801</v>
      </c>
      <c r="B343" s="13" t="str">
        <f t="shared" si="16"/>
        <v>Intermat naložený</v>
      </c>
      <c r="C343">
        <v>215</v>
      </c>
      <c r="M343" s="12" t="s">
        <v>1037</v>
      </c>
      <c r="N343" t="s">
        <v>1037</v>
      </c>
      <c r="O343" t="s">
        <v>1244</v>
      </c>
      <c r="P343" t="s">
        <v>1245</v>
      </c>
    </row>
    <row r="344" spans="1:16">
      <c r="A344">
        <v>300803</v>
      </c>
      <c r="B344" s="13" t="str">
        <f t="shared" si="16"/>
        <v>Intermat vložený</v>
      </c>
      <c r="C344">
        <v>216</v>
      </c>
      <c r="M344" s="12" t="s">
        <v>1040</v>
      </c>
      <c r="N344" t="s">
        <v>1040</v>
      </c>
      <c r="O344" t="s">
        <v>1250</v>
      </c>
      <c r="P344" t="s">
        <v>1251</v>
      </c>
    </row>
    <row r="345" spans="1:16">
      <c r="A345">
        <v>106403</v>
      </c>
      <c r="B345" s="13" t="str">
        <f t="shared" si="16"/>
        <v>podložka na vrut</v>
      </c>
      <c r="C345">
        <v>217</v>
      </c>
      <c r="M345" s="12" t="s">
        <v>1185</v>
      </c>
      <c r="N345" t="s">
        <v>1185</v>
      </c>
      <c r="O345" t="s">
        <v>1259</v>
      </c>
      <c r="P345" t="s">
        <v>1260</v>
      </c>
    </row>
    <row r="346" spans="1:16">
      <c r="A346">
        <v>119240</v>
      </c>
      <c r="B346" s="13" t="str">
        <f t="shared" si="16"/>
        <v>podložka na Eurovrut</v>
      </c>
      <c r="C346">
        <v>218</v>
      </c>
      <c r="M346" s="12" t="s">
        <v>1053</v>
      </c>
      <c r="N346" t="s">
        <v>1053</v>
      </c>
      <c r="O346" t="s">
        <v>1261</v>
      </c>
      <c r="P346" t="s">
        <v>1262</v>
      </c>
    </row>
    <row r="347" spans="1:16">
      <c r="A347">
        <v>136276</v>
      </c>
      <c r="B347" s="13" t="str">
        <f t="shared" si="16"/>
        <v>podložka na rozpěrnou hmoždinku</v>
      </c>
      <c r="C347">
        <v>219</v>
      </c>
      <c r="M347" s="12" t="s">
        <v>1054</v>
      </c>
      <c r="N347" t="s">
        <v>1263</v>
      </c>
      <c r="O347" t="s">
        <v>1264</v>
      </c>
      <c r="P347" t="s">
        <v>1265</v>
      </c>
    </row>
    <row r="348" spans="1:16">
      <c r="A348">
        <v>12002</v>
      </c>
      <c r="B348" s="13" t="str">
        <f t="shared" si="16"/>
        <v>naložený clip</v>
      </c>
      <c r="C348">
        <v>220</v>
      </c>
      <c r="M348" s="12" t="s">
        <v>1186</v>
      </c>
      <c r="N348" t="s">
        <v>121</v>
      </c>
      <c r="O348" t="s">
        <v>481</v>
      </c>
      <c r="P348" t="s">
        <v>557</v>
      </c>
    </row>
    <row r="349" spans="1:16">
      <c r="A349">
        <v>12005</v>
      </c>
      <c r="B349" s="13" t="str">
        <f t="shared" si="16"/>
        <v>polonaložený clip</v>
      </c>
      <c r="C349">
        <v>221</v>
      </c>
      <c r="M349" s="12" t="s">
        <v>1187</v>
      </c>
      <c r="N349" t="s">
        <v>122</v>
      </c>
      <c r="O349" t="s">
        <v>482</v>
      </c>
      <c r="P349" t="s">
        <v>558</v>
      </c>
    </row>
    <row r="350" spans="1:16">
      <c r="A350">
        <v>12008</v>
      </c>
      <c r="B350" s="13" t="str">
        <f t="shared" si="16"/>
        <v>Vložený clip</v>
      </c>
      <c r="C350">
        <v>222</v>
      </c>
      <c r="M350" s="12" t="s">
        <v>123</v>
      </c>
      <c r="N350" t="s">
        <v>123</v>
      </c>
      <c r="O350" t="s">
        <v>483</v>
      </c>
      <c r="P350" t="s">
        <v>559</v>
      </c>
    </row>
    <row r="351" spans="1:16">
      <c r="A351">
        <v>12047</v>
      </c>
      <c r="B351" s="13" t="str">
        <f t="shared" si="16"/>
        <v>naložený s tlumením clip 110°</v>
      </c>
      <c r="C351">
        <v>223</v>
      </c>
      <c r="M351" s="12" t="s">
        <v>1058</v>
      </c>
      <c r="N351" t="s">
        <v>1266</v>
      </c>
      <c r="O351" t="s">
        <v>1267</v>
      </c>
      <c r="P351" t="s">
        <v>1539</v>
      </c>
    </row>
    <row r="352" spans="1:16">
      <c r="A352">
        <v>12048</v>
      </c>
      <c r="B352" s="13" t="str">
        <f t="shared" si="16"/>
        <v>polonaložený s tlumením clip 110°</v>
      </c>
      <c r="C352">
        <v>224</v>
      </c>
      <c r="M352" s="12" t="s">
        <v>1059</v>
      </c>
      <c r="N352" t="s">
        <v>1268</v>
      </c>
      <c r="O352" t="s">
        <v>1269</v>
      </c>
      <c r="P352" t="s">
        <v>1540</v>
      </c>
    </row>
    <row r="353" spans="1:16">
      <c r="A353">
        <v>12049</v>
      </c>
      <c r="B353" s="13" t="str">
        <f t="shared" si="16"/>
        <v>vložený s tlumením clip 110°</v>
      </c>
      <c r="C353">
        <v>225</v>
      </c>
      <c r="M353" s="12" t="s">
        <v>1060</v>
      </c>
      <c r="N353" t="s">
        <v>1270</v>
      </c>
      <c r="O353" t="s">
        <v>1271</v>
      </c>
      <c r="P353" t="s">
        <v>1561</v>
      </c>
    </row>
    <row r="354" spans="1:16">
      <c r="A354">
        <v>12052</v>
      </c>
      <c r="B354" s="13" t="str">
        <f t="shared" si="16"/>
        <v>naložený bez tlumení clip 110°</v>
      </c>
      <c r="C354">
        <v>226</v>
      </c>
      <c r="M354" s="12" t="s">
        <v>1061</v>
      </c>
      <c r="N354" t="s">
        <v>1272</v>
      </c>
      <c r="O354" t="s">
        <v>1273</v>
      </c>
      <c r="P354" t="s">
        <v>1541</v>
      </c>
    </row>
    <row r="355" spans="1:16">
      <c r="A355">
        <v>12053</v>
      </c>
      <c r="B355" s="13" t="str">
        <f t="shared" si="16"/>
        <v>polonaložený bez tlumení clip 110°</v>
      </c>
      <c r="C355">
        <v>227</v>
      </c>
      <c r="M355" s="12" t="s">
        <v>1062</v>
      </c>
      <c r="N355" t="s">
        <v>1274</v>
      </c>
      <c r="O355" t="s">
        <v>1275</v>
      </c>
      <c r="P355" t="s">
        <v>1542</v>
      </c>
    </row>
    <row r="356" spans="1:16">
      <c r="A356">
        <v>12059</v>
      </c>
      <c r="B356" s="13" t="str">
        <f t="shared" si="16"/>
        <v>vložený bez tlumení clip 110°</v>
      </c>
      <c r="C356">
        <v>228</v>
      </c>
      <c r="M356" s="12" t="s">
        <v>1063</v>
      </c>
      <c r="N356" t="s">
        <v>1276</v>
      </c>
      <c r="O356" t="s">
        <v>1277</v>
      </c>
      <c r="P356" t="s">
        <v>1562</v>
      </c>
    </row>
    <row r="357" spans="1:16">
      <c r="A357">
        <v>226668</v>
      </c>
      <c r="B357" s="13" t="str">
        <f t="shared" si="16"/>
        <v>naložený TIP-ON clip 110°</v>
      </c>
      <c r="C357">
        <v>229</v>
      </c>
      <c r="M357" s="12" t="s">
        <v>1064</v>
      </c>
      <c r="N357" t="s">
        <v>1064</v>
      </c>
      <c r="O357" t="s">
        <v>1278</v>
      </c>
      <c r="P357" t="s">
        <v>1543</v>
      </c>
    </row>
    <row r="358" spans="1:16">
      <c r="A358">
        <v>226670</v>
      </c>
      <c r="B358" s="13" t="str">
        <f t="shared" si="16"/>
        <v>polonaložený TIP-ON clip 110°</v>
      </c>
      <c r="C358">
        <v>230</v>
      </c>
      <c r="M358" s="12" t="s">
        <v>1065</v>
      </c>
      <c r="N358" t="s">
        <v>1065</v>
      </c>
      <c r="O358" t="s">
        <v>1279</v>
      </c>
      <c r="P358" t="s">
        <v>1544</v>
      </c>
    </row>
    <row r="359" spans="1:16">
      <c r="A359">
        <v>226671</v>
      </c>
      <c r="B359" s="13" t="str">
        <f t="shared" si="16"/>
        <v>vložený TIP-ON clip 110°</v>
      </c>
      <c r="C359">
        <v>231</v>
      </c>
      <c r="M359" s="12" t="s">
        <v>1066</v>
      </c>
      <c r="N359" t="s">
        <v>1066</v>
      </c>
      <c r="O359" t="s">
        <v>1280</v>
      </c>
      <c r="P359" t="s">
        <v>1563</v>
      </c>
    </row>
    <row r="360" spans="1:16">
      <c r="A360">
        <v>12106</v>
      </c>
      <c r="B360" s="13" t="str">
        <f t="shared" si="16"/>
        <v>naložený clip</v>
      </c>
      <c r="C360">
        <v>232</v>
      </c>
      <c r="M360" s="12" t="s">
        <v>1186</v>
      </c>
      <c r="N360" t="s">
        <v>121</v>
      </c>
      <c r="O360" t="s">
        <v>481</v>
      </c>
      <c r="P360" t="s">
        <v>557</v>
      </c>
    </row>
    <row r="361" spans="1:16">
      <c r="A361">
        <v>12107</v>
      </c>
      <c r="B361" s="13" t="str">
        <f t="shared" si="16"/>
        <v>polonaložený clip</v>
      </c>
      <c r="C361">
        <v>233</v>
      </c>
      <c r="M361" s="12" t="s">
        <v>1187</v>
      </c>
      <c r="N361" t="s">
        <v>122</v>
      </c>
      <c r="O361" t="s">
        <v>482</v>
      </c>
      <c r="P361" t="s">
        <v>558</v>
      </c>
    </row>
    <row r="362" spans="1:16">
      <c r="A362">
        <v>12108</v>
      </c>
      <c r="B362" s="13" t="str">
        <f t="shared" si="16"/>
        <v>Vložený clip</v>
      </c>
      <c r="C362">
        <v>234</v>
      </c>
      <c r="M362" s="12" t="s">
        <v>123</v>
      </c>
      <c r="N362" t="s">
        <v>123</v>
      </c>
      <c r="O362" t="s">
        <v>483</v>
      </c>
      <c r="P362" t="s">
        <v>559</v>
      </c>
    </row>
    <row r="363" spans="1:16">
      <c r="A363">
        <v>118033</v>
      </c>
      <c r="B363" s="13" t="str">
        <f t="shared" si="16"/>
        <v>naložený s tlumením clip 95°</v>
      </c>
      <c r="C363">
        <v>235</v>
      </c>
      <c r="M363" s="12" t="s">
        <v>1068</v>
      </c>
      <c r="N363" t="s">
        <v>1281</v>
      </c>
      <c r="O363" t="s">
        <v>1282</v>
      </c>
      <c r="P363" t="s">
        <v>1545</v>
      </c>
    </row>
    <row r="364" spans="1:16">
      <c r="A364">
        <v>118120</v>
      </c>
      <c r="B364" s="13" t="str">
        <f t="shared" si="16"/>
        <v>polonaložený s tlumením clip 95°</v>
      </c>
      <c r="C364">
        <v>236</v>
      </c>
      <c r="M364" s="12" t="s">
        <v>1069</v>
      </c>
      <c r="N364" t="s">
        <v>1283</v>
      </c>
      <c r="O364" t="s">
        <v>1284</v>
      </c>
      <c r="P364" t="s">
        <v>1546</v>
      </c>
    </row>
    <row r="365" spans="1:16">
      <c r="A365">
        <v>118121</v>
      </c>
      <c r="B365" s="13" t="str">
        <f t="shared" si="16"/>
        <v>vložený s tlumením clip 95°</v>
      </c>
      <c r="C365">
        <v>237</v>
      </c>
      <c r="M365" s="12" t="s">
        <v>1070</v>
      </c>
      <c r="N365" t="s">
        <v>1285</v>
      </c>
      <c r="O365" t="s">
        <v>1286</v>
      </c>
      <c r="P365" t="s">
        <v>1564</v>
      </c>
    </row>
    <row r="366" spans="1:16">
      <c r="A366">
        <v>12109</v>
      </c>
      <c r="B366" s="13" t="str">
        <f t="shared" si="16"/>
        <v>naložený TIP-ON clip 95°</v>
      </c>
      <c r="C366">
        <v>238</v>
      </c>
      <c r="M366" s="12" t="s">
        <v>1071</v>
      </c>
      <c r="N366" t="s">
        <v>1071</v>
      </c>
      <c r="O366" t="s">
        <v>1287</v>
      </c>
      <c r="P366" t="s">
        <v>1547</v>
      </c>
    </row>
    <row r="367" spans="1:16">
      <c r="A367">
        <v>13764</v>
      </c>
      <c r="B367" s="13" t="str">
        <f t="shared" si="16"/>
        <v>naložený TIP-ON clip 120°</v>
      </c>
      <c r="C367">
        <v>239</v>
      </c>
      <c r="M367" s="12" t="s">
        <v>1072</v>
      </c>
      <c r="N367" t="s">
        <v>1072</v>
      </c>
      <c r="O367" t="s">
        <v>1288</v>
      </c>
      <c r="P367" t="s">
        <v>1548</v>
      </c>
    </row>
    <row r="368" spans="1:16">
      <c r="A368">
        <v>12318</v>
      </c>
      <c r="B368" s="13" t="str">
        <f t="shared" si="16"/>
        <v>Clip na eurošroub</v>
      </c>
      <c r="C368">
        <v>240</v>
      </c>
      <c r="M368" s="12" t="s">
        <v>208</v>
      </c>
      <c r="N368" t="s">
        <v>437</v>
      </c>
      <c r="O368" t="s">
        <v>503</v>
      </c>
      <c r="P368" t="s">
        <v>579</v>
      </c>
    </row>
    <row r="369" spans="1:16">
      <c r="A369">
        <v>12306</v>
      </c>
      <c r="B369" s="13" t="str">
        <f t="shared" si="16"/>
        <v>Clip na vrut</v>
      </c>
      <c r="C369">
        <v>241</v>
      </c>
      <c r="M369" s="12" t="s">
        <v>207</v>
      </c>
      <c r="N369" t="s">
        <v>438</v>
      </c>
      <c r="O369" t="s">
        <v>504</v>
      </c>
      <c r="P369" t="s">
        <v>580</v>
      </c>
    </row>
    <row r="370" spans="1:16">
      <c r="A370">
        <v>12319</v>
      </c>
      <c r="B370" s="13" t="str">
        <f t="shared" si="16"/>
        <v xml:space="preserve">Zvýšená o 6 mm </v>
      </c>
      <c r="C370">
        <v>242</v>
      </c>
      <c r="M370" s="12" t="s">
        <v>209</v>
      </c>
      <c r="N370" t="s">
        <v>439</v>
      </c>
      <c r="O370" t="s">
        <v>505</v>
      </c>
      <c r="P370" t="s">
        <v>581</v>
      </c>
    </row>
    <row r="371" spans="1:16">
      <c r="A371">
        <v>92580</v>
      </c>
      <c r="B371" s="13" t="str">
        <f t="shared" si="16"/>
        <v>naložený k nasunutí</v>
      </c>
      <c r="C371">
        <v>243</v>
      </c>
      <c r="M371" t="s">
        <v>1163</v>
      </c>
      <c r="N371" t="s">
        <v>1289</v>
      </c>
      <c r="O371" t="s">
        <v>1290</v>
      </c>
      <c r="P371" t="s">
        <v>1291</v>
      </c>
    </row>
    <row r="372" spans="1:16">
      <c r="A372">
        <v>92582</v>
      </c>
      <c r="B372" s="13" t="str">
        <f t="shared" si="16"/>
        <v>polonaložený k nasunutí</v>
      </c>
      <c r="C372">
        <v>244</v>
      </c>
      <c r="M372" t="s">
        <v>1164</v>
      </c>
      <c r="N372" t="s">
        <v>1292</v>
      </c>
      <c r="O372" t="s">
        <v>1293</v>
      </c>
      <c r="P372" t="s">
        <v>1294</v>
      </c>
    </row>
    <row r="373" spans="1:16">
      <c r="A373">
        <v>92583</v>
      </c>
      <c r="B373" s="13" t="str">
        <f t="shared" si="16"/>
        <v>vložený k nasunutí</v>
      </c>
      <c r="C373">
        <v>245</v>
      </c>
      <c r="M373" t="s">
        <v>1165</v>
      </c>
      <c r="N373" t="s">
        <v>1295</v>
      </c>
      <c r="O373" t="s">
        <v>1296</v>
      </c>
      <c r="P373" t="s">
        <v>1297</v>
      </c>
    </row>
    <row r="374" spans="1:16">
      <c r="A374" t="s">
        <v>1079</v>
      </c>
      <c r="B374" s="13" t="str">
        <f t="shared" si="16"/>
        <v>STRONG 30N bílý Automatický</v>
      </c>
      <c r="C374">
        <v>246</v>
      </c>
      <c r="M374" t="s">
        <v>1080</v>
      </c>
      <c r="N374" t="s">
        <v>1298</v>
      </c>
      <c r="O374" t="s">
        <v>1299</v>
      </c>
      <c r="P374" t="s">
        <v>1300</v>
      </c>
    </row>
    <row r="375" spans="1:16">
      <c r="A375" t="s">
        <v>1081</v>
      </c>
      <c r="B375" s="13" t="str">
        <f t="shared" si="16"/>
        <v>STRONG 60N bílý Automatický</v>
      </c>
      <c r="C375">
        <v>247</v>
      </c>
      <c r="M375" t="s">
        <v>1082</v>
      </c>
      <c r="N375" t="s">
        <v>1301</v>
      </c>
      <c r="O375" t="s">
        <v>1302</v>
      </c>
      <c r="P375" t="s">
        <v>1303</v>
      </c>
    </row>
    <row r="376" spans="1:16">
      <c r="A376" t="s">
        <v>1083</v>
      </c>
      <c r="B376" s="13" t="str">
        <f t="shared" si="16"/>
        <v>STRONG 80N bílý Automatický</v>
      </c>
      <c r="C376">
        <v>248</v>
      </c>
      <c r="M376" t="s">
        <v>1084</v>
      </c>
      <c r="N376" t="s">
        <v>1304</v>
      </c>
      <c r="O376" t="s">
        <v>1305</v>
      </c>
      <c r="P376" t="s">
        <v>1306</v>
      </c>
    </row>
    <row r="377" spans="1:16">
      <c r="A377" t="s">
        <v>1085</v>
      </c>
      <c r="B377" s="13" t="str">
        <f t="shared" si="16"/>
        <v>STRONG 100N bílý Automatický</v>
      </c>
      <c r="C377">
        <v>249</v>
      </c>
      <c r="M377" t="s">
        <v>1086</v>
      </c>
      <c r="N377" t="s">
        <v>1307</v>
      </c>
      <c r="O377" t="s">
        <v>1308</v>
      </c>
      <c r="P377" t="s">
        <v>1309</v>
      </c>
    </row>
    <row r="378" spans="1:16">
      <c r="A378" t="s">
        <v>1087</v>
      </c>
      <c r="B378" s="13" t="str">
        <f t="shared" si="16"/>
        <v>STRONG 120N bílý Automatický</v>
      </c>
      <c r="C378">
        <v>250</v>
      </c>
      <c r="M378" t="s">
        <v>1088</v>
      </c>
      <c r="N378" t="s">
        <v>1310</v>
      </c>
      <c r="O378" t="s">
        <v>1311</v>
      </c>
      <c r="P378" t="s">
        <v>1312</v>
      </c>
    </row>
    <row r="379" spans="1:16">
      <c r="A379" t="s">
        <v>1089</v>
      </c>
      <c r="B379" s="13" t="str">
        <f t="shared" si="16"/>
        <v>STRONG 60N bílý Polohovací</v>
      </c>
      <c r="C379">
        <v>251</v>
      </c>
      <c r="M379" t="s">
        <v>1090</v>
      </c>
      <c r="N379" t="s">
        <v>1313</v>
      </c>
      <c r="O379" t="s">
        <v>1314</v>
      </c>
      <c r="P379" t="s">
        <v>1315</v>
      </c>
    </row>
    <row r="380" spans="1:16">
      <c r="A380" t="s">
        <v>1091</v>
      </c>
      <c r="B380" s="13" t="str">
        <f t="shared" si="16"/>
        <v>STRONG 80N bílý Polohovací</v>
      </c>
      <c r="C380">
        <v>252</v>
      </c>
      <c r="M380" t="s">
        <v>1092</v>
      </c>
      <c r="N380" t="s">
        <v>1316</v>
      </c>
      <c r="O380" t="s">
        <v>1317</v>
      </c>
      <c r="P380" t="s">
        <v>1318</v>
      </c>
    </row>
    <row r="381" spans="1:16">
      <c r="A381" t="s">
        <v>1093</v>
      </c>
      <c r="B381" s="13" t="str">
        <f t="shared" si="16"/>
        <v>STRONG 100N bílý Polohovací</v>
      </c>
      <c r="C381">
        <v>253</v>
      </c>
      <c r="M381" t="s">
        <v>1094</v>
      </c>
      <c r="N381" t="s">
        <v>1319</v>
      </c>
      <c r="O381" t="s">
        <v>1320</v>
      </c>
      <c r="P381" t="s">
        <v>1321</v>
      </c>
    </row>
    <row r="382" spans="1:16">
      <c r="A382" t="s">
        <v>1095</v>
      </c>
      <c r="B382" s="13" t="str">
        <f t="shared" si="16"/>
        <v>STRONG 120N bílý Polohovací</v>
      </c>
      <c r="C382">
        <v>254</v>
      </c>
      <c r="M382" t="s">
        <v>1096</v>
      </c>
      <c r="N382" t="s">
        <v>1322</v>
      </c>
      <c r="O382" t="s">
        <v>1323</v>
      </c>
      <c r="P382" t="s">
        <v>1324</v>
      </c>
    </row>
    <row r="383" spans="1:16">
      <c r="A383" t="s">
        <v>1097</v>
      </c>
      <c r="B383" s="13" t="str">
        <f t="shared" si="16"/>
        <v>STRONG 30N šedý Automatický</v>
      </c>
      <c r="C383">
        <v>255</v>
      </c>
      <c r="M383" t="s">
        <v>1098</v>
      </c>
      <c r="N383" t="s">
        <v>1098</v>
      </c>
      <c r="O383" t="s">
        <v>1325</v>
      </c>
      <c r="P383" t="s">
        <v>1326</v>
      </c>
    </row>
    <row r="384" spans="1:16">
      <c r="A384" t="s">
        <v>1099</v>
      </c>
      <c r="B384" s="13" t="str">
        <f t="shared" si="16"/>
        <v>STRONG 60N šedý Automatický</v>
      </c>
      <c r="C384">
        <v>256</v>
      </c>
      <c r="M384" t="s">
        <v>1100</v>
      </c>
      <c r="N384" t="s">
        <v>1100</v>
      </c>
      <c r="O384" t="s">
        <v>1327</v>
      </c>
      <c r="P384" t="s">
        <v>1328</v>
      </c>
    </row>
    <row r="385" spans="1:16">
      <c r="A385" t="s">
        <v>1101</v>
      </c>
      <c r="B385" s="13" t="str">
        <f t="shared" si="16"/>
        <v>STRONG 80N šedý Automatický</v>
      </c>
      <c r="C385">
        <v>257</v>
      </c>
      <c r="M385" t="s">
        <v>1102</v>
      </c>
      <c r="N385" t="s">
        <v>1102</v>
      </c>
      <c r="O385" t="s">
        <v>1329</v>
      </c>
      <c r="P385" t="s">
        <v>1330</v>
      </c>
    </row>
    <row r="386" spans="1:16">
      <c r="A386" t="s">
        <v>1103</v>
      </c>
      <c r="B386" s="13" t="str">
        <f t="shared" si="16"/>
        <v>STRONG 100N šedý Automatický</v>
      </c>
      <c r="C386">
        <v>258</v>
      </c>
      <c r="M386" t="s">
        <v>1104</v>
      </c>
      <c r="N386" t="s">
        <v>1104</v>
      </c>
      <c r="O386" t="s">
        <v>1331</v>
      </c>
      <c r="P386" t="s">
        <v>1332</v>
      </c>
    </row>
    <row r="387" spans="1:16">
      <c r="A387" t="s">
        <v>1105</v>
      </c>
      <c r="B387" s="13" t="str">
        <f t="shared" si="16"/>
        <v>STRONG 120N šedý Automatický</v>
      </c>
      <c r="C387">
        <v>259</v>
      </c>
      <c r="M387" t="s">
        <v>1106</v>
      </c>
      <c r="N387" t="s">
        <v>1106</v>
      </c>
      <c r="O387" t="s">
        <v>1333</v>
      </c>
      <c r="P387" t="s">
        <v>1334</v>
      </c>
    </row>
    <row r="388" spans="1:16">
      <c r="A388" t="s">
        <v>1107</v>
      </c>
      <c r="B388" s="13" t="str">
        <f t="shared" si="16"/>
        <v>STRONG 60N šedý Polohovací</v>
      </c>
      <c r="C388">
        <v>260</v>
      </c>
      <c r="M388" t="s">
        <v>1108</v>
      </c>
      <c r="N388" t="s">
        <v>1108</v>
      </c>
      <c r="O388" t="s">
        <v>1335</v>
      </c>
      <c r="P388" t="s">
        <v>1336</v>
      </c>
    </row>
    <row r="389" spans="1:16">
      <c r="A389" t="s">
        <v>1109</v>
      </c>
      <c r="B389" s="13" t="str">
        <f t="shared" ref="B389:B452" si="17">IF($D$1=1,M389,IF($D$1=2,N389,IF($D$1=3,O389,IF($D$1=4,P389,0))))</f>
        <v>STRONG 80N šedý Polohovací</v>
      </c>
      <c r="C389">
        <v>261</v>
      </c>
      <c r="M389" t="s">
        <v>1110</v>
      </c>
      <c r="N389" t="s">
        <v>1110</v>
      </c>
      <c r="O389" t="s">
        <v>1337</v>
      </c>
      <c r="P389" t="s">
        <v>1338</v>
      </c>
    </row>
    <row r="390" spans="1:16">
      <c r="A390" t="s">
        <v>1111</v>
      </c>
      <c r="B390" s="13" t="str">
        <f t="shared" si="17"/>
        <v>STRONG 100N šedý Polohovací</v>
      </c>
      <c r="C390">
        <v>262</v>
      </c>
      <c r="M390" t="s">
        <v>1112</v>
      </c>
      <c r="N390" t="s">
        <v>1112</v>
      </c>
      <c r="O390" t="s">
        <v>1339</v>
      </c>
      <c r="P390" t="s">
        <v>1340</v>
      </c>
    </row>
    <row r="391" spans="1:16">
      <c r="A391" t="s">
        <v>1113</v>
      </c>
      <c r="B391" s="13" t="str">
        <f t="shared" si="17"/>
        <v>STRONG 120N šedý Polohovací</v>
      </c>
      <c r="C391">
        <v>263</v>
      </c>
      <c r="M391" t="s">
        <v>1114</v>
      </c>
      <c r="N391" t="s">
        <v>1114</v>
      </c>
      <c r="O391" t="s">
        <v>1341</v>
      </c>
      <c r="P391" t="s">
        <v>1342</v>
      </c>
    </row>
    <row r="392" spans="1:16">
      <c r="A392" t="s">
        <v>1115</v>
      </c>
      <c r="B392" s="13" t="str">
        <f t="shared" si="17"/>
        <v>HUWIL DUO</v>
      </c>
      <c r="C392">
        <v>264</v>
      </c>
      <c r="M392" t="s">
        <v>1116</v>
      </c>
      <c r="N392" t="s">
        <v>1116</v>
      </c>
      <c r="O392" t="s">
        <v>1116</v>
      </c>
      <c r="P392" t="s">
        <v>1116</v>
      </c>
    </row>
    <row r="393" spans="1:16">
      <c r="A393" t="s">
        <v>1117</v>
      </c>
      <c r="B393" s="13" t="str">
        <f t="shared" si="17"/>
        <v>HUWIL DUO FORTE</v>
      </c>
      <c r="C393">
        <v>265</v>
      </c>
      <c r="M393" t="s">
        <v>1118</v>
      </c>
      <c r="N393" t="s">
        <v>1118</v>
      </c>
      <c r="O393" t="s">
        <v>1118</v>
      </c>
      <c r="P393" t="s">
        <v>1118</v>
      </c>
    </row>
    <row r="394" spans="1:16">
      <c r="A394" t="s">
        <v>1119</v>
      </c>
      <c r="B394" s="13" t="str">
        <f t="shared" si="17"/>
        <v>HUWILIFT MAXI</v>
      </c>
      <c r="C394">
        <v>266</v>
      </c>
      <c r="M394" t="s">
        <v>1120</v>
      </c>
      <c r="N394" t="s">
        <v>1120</v>
      </c>
      <c r="O394" t="s">
        <v>1120</v>
      </c>
      <c r="P394" t="s">
        <v>1120</v>
      </c>
    </row>
    <row r="395" spans="1:16">
      <c r="A395" t="s">
        <v>1121</v>
      </c>
      <c r="B395" s="13" t="str">
        <f t="shared" si="17"/>
        <v>KRABY 164 45N</v>
      </c>
      <c r="C395">
        <v>267</v>
      </c>
      <c r="M395" t="s">
        <v>749</v>
      </c>
      <c r="N395" t="s">
        <v>749</v>
      </c>
      <c r="O395" t="s">
        <v>749</v>
      </c>
      <c r="P395" t="s">
        <v>749</v>
      </c>
    </row>
    <row r="396" spans="1:16">
      <c r="A396" t="s">
        <v>1122</v>
      </c>
      <c r="B396" s="13" t="str">
        <f t="shared" si="17"/>
        <v>KRABY 164 60N</v>
      </c>
      <c r="C396">
        <v>268</v>
      </c>
      <c r="M396" t="s">
        <v>750</v>
      </c>
      <c r="N396" t="s">
        <v>750</v>
      </c>
      <c r="O396" t="s">
        <v>750</v>
      </c>
      <c r="P396" t="s">
        <v>750</v>
      </c>
    </row>
    <row r="397" spans="1:16">
      <c r="A397" t="s">
        <v>1123</v>
      </c>
      <c r="B397" s="13" t="str">
        <f t="shared" si="17"/>
        <v>KRABY 244 45N</v>
      </c>
      <c r="C397">
        <v>269</v>
      </c>
      <c r="M397" t="s">
        <v>751</v>
      </c>
      <c r="N397" t="s">
        <v>751</v>
      </c>
      <c r="O397" t="s">
        <v>751</v>
      </c>
      <c r="P397" t="s">
        <v>751</v>
      </c>
    </row>
    <row r="398" spans="1:16">
      <c r="A398" t="s">
        <v>1124</v>
      </c>
      <c r="B398" s="13" t="str">
        <f t="shared" si="17"/>
        <v>KRABY 244 60N</v>
      </c>
      <c r="C398">
        <v>270</v>
      </c>
      <c r="M398" t="s">
        <v>752</v>
      </c>
      <c r="N398" t="s">
        <v>752</v>
      </c>
      <c r="O398" t="s">
        <v>752</v>
      </c>
      <c r="P398" t="s">
        <v>752</v>
      </c>
    </row>
    <row r="399" spans="1:16">
      <c r="A399" t="s">
        <v>1125</v>
      </c>
      <c r="B399" s="13" t="str">
        <f t="shared" si="17"/>
        <v>KRABY 244 90N</v>
      </c>
      <c r="C399">
        <v>271</v>
      </c>
      <c r="M399" t="s">
        <v>753</v>
      </c>
      <c r="N399" t="s">
        <v>753</v>
      </c>
      <c r="O399" t="s">
        <v>753</v>
      </c>
      <c r="P399" t="s">
        <v>753</v>
      </c>
    </row>
    <row r="400" spans="1:16">
      <c r="A400" t="s">
        <v>1126</v>
      </c>
      <c r="B400" s="13" t="str">
        <f t="shared" si="17"/>
        <v>KRABY 244 120N</v>
      </c>
      <c r="C400">
        <v>272</v>
      </c>
      <c r="M400" t="s">
        <v>754</v>
      </c>
      <c r="N400" t="s">
        <v>754</v>
      </c>
      <c r="O400" t="s">
        <v>754</v>
      </c>
      <c r="P400" t="s">
        <v>754</v>
      </c>
    </row>
    <row r="401" spans="1:16">
      <c r="A401" t="s">
        <v>1127</v>
      </c>
      <c r="B401" s="13" t="str">
        <f t="shared" si="17"/>
        <v>KRABY 355 45N</v>
      </c>
      <c r="C401">
        <v>273</v>
      </c>
      <c r="M401" t="s">
        <v>755</v>
      </c>
      <c r="N401" t="s">
        <v>755</v>
      </c>
      <c r="O401" t="s">
        <v>755</v>
      </c>
      <c r="P401" t="s">
        <v>755</v>
      </c>
    </row>
    <row r="402" spans="1:16">
      <c r="A402" t="s">
        <v>1128</v>
      </c>
      <c r="B402" s="13" t="str">
        <f t="shared" si="17"/>
        <v>KRABY 355 60N</v>
      </c>
      <c r="C402">
        <v>274</v>
      </c>
      <c r="M402" t="s">
        <v>756</v>
      </c>
      <c r="N402" t="s">
        <v>756</v>
      </c>
      <c r="O402" t="s">
        <v>756</v>
      </c>
      <c r="P402" t="s">
        <v>756</v>
      </c>
    </row>
    <row r="403" spans="1:16">
      <c r="A403" t="s">
        <v>1129</v>
      </c>
      <c r="B403" s="13" t="str">
        <f t="shared" si="17"/>
        <v>KRABY 355 90N</v>
      </c>
      <c r="C403">
        <v>275</v>
      </c>
      <c r="M403" t="s">
        <v>757</v>
      </c>
      <c r="N403" t="s">
        <v>757</v>
      </c>
      <c r="O403" t="s">
        <v>757</v>
      </c>
      <c r="P403" t="s">
        <v>757</v>
      </c>
    </row>
    <row r="404" spans="1:16">
      <c r="A404" t="s">
        <v>1130</v>
      </c>
      <c r="B404" s="13" t="str">
        <f t="shared" si="17"/>
        <v>KRABY 355 120N</v>
      </c>
      <c r="C404">
        <v>276</v>
      </c>
      <c r="M404" t="s">
        <v>758</v>
      </c>
      <c r="N404" t="s">
        <v>758</v>
      </c>
      <c r="O404" t="s">
        <v>758</v>
      </c>
      <c r="P404" t="s">
        <v>758</v>
      </c>
    </row>
    <row r="405" spans="1:16">
      <c r="A405" t="s">
        <v>1131</v>
      </c>
      <c r="B405" s="13" t="str">
        <f t="shared" si="17"/>
        <v>K12 244 50N</v>
      </c>
      <c r="C405">
        <v>277</v>
      </c>
      <c r="M405" t="s">
        <v>1132</v>
      </c>
      <c r="N405" t="s">
        <v>1132</v>
      </c>
      <c r="O405" t="s">
        <v>1132</v>
      </c>
      <c r="P405" t="s">
        <v>1132</v>
      </c>
    </row>
    <row r="406" spans="1:16">
      <c r="A406" t="s">
        <v>1133</v>
      </c>
      <c r="B406" s="13" t="str">
        <f t="shared" si="17"/>
        <v>K12 244 80N</v>
      </c>
      <c r="C406">
        <v>278</v>
      </c>
      <c r="M406" t="s">
        <v>1134</v>
      </c>
      <c r="N406" t="s">
        <v>1134</v>
      </c>
      <c r="O406" t="s">
        <v>1134</v>
      </c>
      <c r="P406" t="s">
        <v>1134</v>
      </c>
    </row>
    <row r="407" spans="1:16">
      <c r="A407" t="s">
        <v>1135</v>
      </c>
      <c r="B407" s="13" t="str">
        <f t="shared" si="17"/>
        <v>K12 244 100N</v>
      </c>
      <c r="C407">
        <v>279</v>
      </c>
      <c r="M407" t="s">
        <v>1136</v>
      </c>
      <c r="N407" t="s">
        <v>1136</v>
      </c>
      <c r="O407" t="s">
        <v>1136</v>
      </c>
      <c r="P407" t="s">
        <v>1136</v>
      </c>
    </row>
    <row r="408" spans="1:16">
      <c r="A408" t="s">
        <v>1137</v>
      </c>
      <c r="B408" s="13" t="str">
        <f t="shared" si="17"/>
        <v>K12 244 120N</v>
      </c>
      <c r="C408">
        <v>280</v>
      </c>
      <c r="M408" t="s">
        <v>1138</v>
      </c>
      <c r="N408" t="s">
        <v>1138</v>
      </c>
      <c r="O408" t="s">
        <v>1138</v>
      </c>
      <c r="P408" t="s">
        <v>1138</v>
      </c>
    </row>
    <row r="409" spans="1:16">
      <c r="A409" t="s">
        <v>1139</v>
      </c>
      <c r="B409" s="13" t="str">
        <f t="shared" si="17"/>
        <v>K12 355 60N</v>
      </c>
      <c r="C409">
        <v>281</v>
      </c>
      <c r="M409" t="s">
        <v>1140</v>
      </c>
      <c r="N409" t="s">
        <v>1140</v>
      </c>
      <c r="O409" t="s">
        <v>1140</v>
      </c>
      <c r="P409" t="s">
        <v>1140</v>
      </c>
    </row>
    <row r="410" spans="1:16">
      <c r="A410" t="s">
        <v>1141</v>
      </c>
      <c r="B410" s="13" t="str">
        <f t="shared" si="17"/>
        <v>K12 355 90N</v>
      </c>
      <c r="C410">
        <v>282</v>
      </c>
      <c r="M410" t="s">
        <v>1142</v>
      </c>
      <c r="N410" t="s">
        <v>1142</v>
      </c>
      <c r="O410" t="s">
        <v>1142</v>
      </c>
      <c r="P410" t="s">
        <v>1142</v>
      </c>
    </row>
    <row r="411" spans="1:16">
      <c r="A411" t="s">
        <v>1143</v>
      </c>
      <c r="B411" s="13" t="str">
        <f t="shared" si="17"/>
        <v>K12 355 110N</v>
      </c>
      <c r="C411">
        <v>283</v>
      </c>
      <c r="M411" t="s">
        <v>1144</v>
      </c>
      <c r="N411" t="s">
        <v>1144</v>
      </c>
      <c r="O411" t="s">
        <v>1144</v>
      </c>
      <c r="P411" t="s">
        <v>1144</v>
      </c>
    </row>
    <row r="412" spans="1:16">
      <c r="A412" t="s">
        <v>1145</v>
      </c>
      <c r="B412" s="13" t="str">
        <f t="shared" si="17"/>
        <v>K12 355 130N</v>
      </c>
      <c r="C412">
        <v>284</v>
      </c>
      <c r="M412" t="s">
        <v>1146</v>
      </c>
      <c r="N412" t="s">
        <v>1146</v>
      </c>
      <c r="O412" t="s">
        <v>1146</v>
      </c>
      <c r="P412" t="s">
        <v>1146</v>
      </c>
    </row>
    <row r="413" spans="1:16">
      <c r="A413" t="s">
        <v>1147</v>
      </c>
      <c r="B413" s="13" t="str">
        <f t="shared" si="17"/>
        <v>STRONG spodní bílý</v>
      </c>
      <c r="C413">
        <v>285</v>
      </c>
      <c r="M413" t="s">
        <v>1148</v>
      </c>
      <c r="N413" t="s">
        <v>1343</v>
      </c>
      <c r="O413" t="s">
        <v>1344</v>
      </c>
      <c r="P413" t="s">
        <v>1345</v>
      </c>
    </row>
    <row r="414" spans="1:16">
      <c r="A414" t="s">
        <v>1149</v>
      </c>
      <c r="B414" s="13" t="str">
        <f t="shared" si="17"/>
        <v>STRONG spodní šedý</v>
      </c>
      <c r="C414">
        <v>286</v>
      </c>
      <c r="M414" t="s">
        <v>1150</v>
      </c>
      <c r="N414" t="s">
        <v>1346</v>
      </c>
      <c r="O414" t="s">
        <v>1347</v>
      </c>
      <c r="P414" t="s">
        <v>1348</v>
      </c>
    </row>
    <row r="415" spans="1:16">
      <c r="A415" t="s">
        <v>1151</v>
      </c>
      <c r="B415" s="13" t="str">
        <f t="shared" si="17"/>
        <v xml:space="preserve">HUWIL DUO (90°) </v>
      </c>
      <c r="C415">
        <v>287</v>
      </c>
      <c r="M415" t="s">
        <v>1152</v>
      </c>
      <c r="N415" t="s">
        <v>1152</v>
      </c>
      <c r="O415" t="s">
        <v>1152</v>
      </c>
      <c r="P415" t="s">
        <v>1152</v>
      </c>
    </row>
    <row r="416" spans="1:16">
      <c r="A416" t="s">
        <v>1153</v>
      </c>
      <c r="B416" s="13" t="str">
        <f t="shared" si="17"/>
        <v>HUWIL DUO FORTE</v>
      </c>
      <c r="C416">
        <v>288</v>
      </c>
      <c r="M416" t="s">
        <v>1118</v>
      </c>
      <c r="N416" t="s">
        <v>1118</v>
      </c>
      <c r="O416" t="s">
        <v>1118</v>
      </c>
      <c r="P416" t="s">
        <v>1118</v>
      </c>
    </row>
    <row r="417" spans="1:16">
      <c r="A417" t="s">
        <v>1154</v>
      </c>
      <c r="B417" s="13" t="str">
        <f t="shared" si="17"/>
        <v>KRABY 164 spodní</v>
      </c>
      <c r="C417">
        <v>289</v>
      </c>
      <c r="M417" t="s">
        <v>1155</v>
      </c>
      <c r="N417" t="s">
        <v>1349</v>
      </c>
      <c r="O417" t="s">
        <v>1350</v>
      </c>
      <c r="P417" t="s">
        <v>1351</v>
      </c>
    </row>
    <row r="418" spans="1:16">
      <c r="A418" t="s">
        <v>1156</v>
      </c>
      <c r="B418" s="13" t="str">
        <f t="shared" si="17"/>
        <v>KRABY 244 spodní</v>
      </c>
      <c r="C418">
        <v>290</v>
      </c>
      <c r="M418" t="s">
        <v>1157</v>
      </c>
      <c r="N418" t="s">
        <v>1352</v>
      </c>
      <c r="O418" t="s">
        <v>1353</v>
      </c>
      <c r="P418" t="s">
        <v>1354</v>
      </c>
    </row>
    <row r="419" spans="1:16">
      <c r="A419" t="s">
        <v>1158</v>
      </c>
      <c r="B419" s="13" t="str">
        <f t="shared" si="17"/>
        <v>KRABY 355 spodní</v>
      </c>
      <c r="C419">
        <v>291</v>
      </c>
      <c r="M419" t="s">
        <v>1159</v>
      </c>
      <c r="N419" t="s">
        <v>1355</v>
      </c>
      <c r="O419" t="s">
        <v>1356</v>
      </c>
      <c r="P419" t="s">
        <v>1357</v>
      </c>
    </row>
    <row r="420" spans="1:16">
      <c r="A420">
        <v>248162</v>
      </c>
      <c r="B420" s="13" t="str">
        <f t="shared" si="17"/>
        <v>STRONG 30N bílý Automatický</v>
      </c>
      <c r="C420">
        <v>292</v>
      </c>
      <c r="M420" t="s">
        <v>1080</v>
      </c>
      <c r="N420" t="s">
        <v>1298</v>
      </c>
      <c r="O420" t="s">
        <v>1299</v>
      </c>
      <c r="P420" t="s">
        <v>1300</v>
      </c>
    </row>
    <row r="421" spans="1:16">
      <c r="A421">
        <v>248163</v>
      </c>
      <c r="B421" s="13" t="str">
        <f t="shared" si="17"/>
        <v>STRONG 60N bílý Automatický</v>
      </c>
      <c r="C421">
        <v>293</v>
      </c>
      <c r="M421" t="s">
        <v>1082</v>
      </c>
      <c r="N421" t="s">
        <v>1301</v>
      </c>
      <c r="O421" t="s">
        <v>1302</v>
      </c>
      <c r="P421" t="s">
        <v>1303</v>
      </c>
    </row>
    <row r="422" spans="1:16">
      <c r="A422">
        <v>248164</v>
      </c>
      <c r="B422" s="13" t="str">
        <f t="shared" si="17"/>
        <v>STRONG 80N bílý Automatický</v>
      </c>
      <c r="C422">
        <v>294</v>
      </c>
      <c r="M422" t="s">
        <v>1084</v>
      </c>
      <c r="N422" t="s">
        <v>1304</v>
      </c>
      <c r="O422" t="s">
        <v>1305</v>
      </c>
      <c r="P422" t="s">
        <v>1306</v>
      </c>
    </row>
    <row r="423" spans="1:16">
      <c r="A423">
        <v>248165</v>
      </c>
      <c r="B423" s="13" t="str">
        <f t="shared" si="17"/>
        <v>STRONG 100N bílý Automatický</v>
      </c>
      <c r="C423">
        <v>295</v>
      </c>
      <c r="M423" t="s">
        <v>1086</v>
      </c>
      <c r="N423" t="s">
        <v>1307</v>
      </c>
      <c r="O423" t="s">
        <v>1308</v>
      </c>
      <c r="P423" t="s">
        <v>1309</v>
      </c>
    </row>
    <row r="424" spans="1:16">
      <c r="A424">
        <v>248166</v>
      </c>
      <c r="B424" s="13" t="str">
        <f t="shared" si="17"/>
        <v>STRONG 120N bílý Automatický</v>
      </c>
      <c r="C424">
        <v>296</v>
      </c>
      <c r="M424" t="s">
        <v>1088</v>
      </c>
      <c r="N424" t="s">
        <v>1310</v>
      </c>
      <c r="O424" t="s">
        <v>1311</v>
      </c>
      <c r="P424" t="s">
        <v>1312</v>
      </c>
    </row>
    <row r="425" spans="1:16">
      <c r="A425">
        <v>284254</v>
      </c>
      <c r="B425" s="13" t="str">
        <f t="shared" si="17"/>
        <v>STRONG 60N bílý Polohovací</v>
      </c>
      <c r="C425">
        <v>297</v>
      </c>
      <c r="M425" t="s">
        <v>1090</v>
      </c>
      <c r="N425" t="s">
        <v>1313</v>
      </c>
      <c r="O425" t="s">
        <v>1314</v>
      </c>
      <c r="P425" t="s">
        <v>1315</v>
      </c>
    </row>
    <row r="426" spans="1:16">
      <c r="A426">
        <v>284255</v>
      </c>
      <c r="B426" s="13" t="str">
        <f t="shared" si="17"/>
        <v>STRONG 80N bílý Polohovací</v>
      </c>
      <c r="C426">
        <v>298</v>
      </c>
      <c r="M426" t="s">
        <v>1092</v>
      </c>
      <c r="N426" t="s">
        <v>1316</v>
      </c>
      <c r="O426" t="s">
        <v>1317</v>
      </c>
      <c r="P426" t="s">
        <v>1318</v>
      </c>
    </row>
    <row r="427" spans="1:16">
      <c r="A427">
        <v>284256</v>
      </c>
      <c r="B427" s="13" t="str">
        <f t="shared" si="17"/>
        <v>STRONG 100N bílý Polohovací</v>
      </c>
      <c r="C427">
        <v>299</v>
      </c>
      <c r="M427" t="s">
        <v>1094</v>
      </c>
      <c r="N427" t="s">
        <v>1319</v>
      </c>
      <c r="O427" t="s">
        <v>1320</v>
      </c>
      <c r="P427" t="s">
        <v>1321</v>
      </c>
    </row>
    <row r="428" spans="1:16">
      <c r="A428">
        <v>284257</v>
      </c>
      <c r="B428" s="13" t="str">
        <f t="shared" si="17"/>
        <v>STRONG 120N bílý Polohovací</v>
      </c>
      <c r="C428">
        <v>300</v>
      </c>
      <c r="M428" t="s">
        <v>1096</v>
      </c>
      <c r="N428" t="s">
        <v>1322</v>
      </c>
      <c r="O428" t="s">
        <v>1323</v>
      </c>
      <c r="P428" t="s">
        <v>1324</v>
      </c>
    </row>
    <row r="429" spans="1:16">
      <c r="A429">
        <v>275672</v>
      </c>
      <c r="B429" s="13" t="str">
        <f t="shared" si="17"/>
        <v>STRONG 30N šedý Automatický</v>
      </c>
      <c r="C429">
        <v>301</v>
      </c>
      <c r="M429" t="s">
        <v>1098</v>
      </c>
      <c r="N429" t="s">
        <v>1098</v>
      </c>
      <c r="O429" t="s">
        <v>1325</v>
      </c>
      <c r="P429" t="s">
        <v>1326</v>
      </c>
    </row>
    <row r="430" spans="1:16">
      <c r="A430">
        <v>275673</v>
      </c>
      <c r="B430" s="13" t="str">
        <f t="shared" si="17"/>
        <v>STRONG 60N šedý Automatický</v>
      </c>
      <c r="C430">
        <v>302</v>
      </c>
      <c r="M430" t="s">
        <v>1100</v>
      </c>
      <c r="N430" t="s">
        <v>1100</v>
      </c>
      <c r="O430" t="s">
        <v>1327</v>
      </c>
      <c r="P430" t="s">
        <v>1328</v>
      </c>
    </row>
    <row r="431" spans="1:16">
      <c r="A431">
        <v>275674</v>
      </c>
      <c r="B431" s="13" t="str">
        <f t="shared" si="17"/>
        <v>STRONG 80N šedý Automatický</v>
      </c>
      <c r="C431">
        <v>303</v>
      </c>
      <c r="M431" t="s">
        <v>1102</v>
      </c>
      <c r="N431" t="s">
        <v>1102</v>
      </c>
      <c r="O431" t="s">
        <v>1329</v>
      </c>
      <c r="P431" t="s">
        <v>1330</v>
      </c>
    </row>
    <row r="432" spans="1:16">
      <c r="A432">
        <v>275675</v>
      </c>
      <c r="B432" s="13" t="str">
        <f t="shared" si="17"/>
        <v>STRONG 100N šedý Automatický</v>
      </c>
      <c r="C432">
        <v>304</v>
      </c>
      <c r="M432" t="s">
        <v>1104</v>
      </c>
      <c r="N432" t="s">
        <v>1104</v>
      </c>
      <c r="O432" t="s">
        <v>1331</v>
      </c>
      <c r="P432" t="s">
        <v>1332</v>
      </c>
    </row>
    <row r="433" spans="1:16">
      <c r="A433">
        <v>275676</v>
      </c>
      <c r="B433" s="13" t="str">
        <f t="shared" si="17"/>
        <v>STRONG 120N šedý Automatický</v>
      </c>
      <c r="C433">
        <v>305</v>
      </c>
      <c r="M433" t="s">
        <v>1106</v>
      </c>
      <c r="N433" t="s">
        <v>1106</v>
      </c>
      <c r="O433" t="s">
        <v>1333</v>
      </c>
      <c r="P433" t="s">
        <v>1334</v>
      </c>
    </row>
    <row r="434" spans="1:16">
      <c r="A434">
        <v>284250</v>
      </c>
      <c r="B434" s="13" t="str">
        <f t="shared" si="17"/>
        <v>STRONG 60N šedý Polohovací</v>
      </c>
      <c r="C434">
        <v>306</v>
      </c>
      <c r="M434" t="s">
        <v>1108</v>
      </c>
      <c r="N434" t="s">
        <v>1108</v>
      </c>
      <c r="O434" t="s">
        <v>1335</v>
      </c>
      <c r="P434" t="s">
        <v>1336</v>
      </c>
    </row>
    <row r="435" spans="1:16">
      <c r="A435">
        <v>284251</v>
      </c>
      <c r="B435" s="13" t="str">
        <f t="shared" si="17"/>
        <v>STRONG 80N šedý Polohovací</v>
      </c>
      <c r="C435">
        <v>307</v>
      </c>
      <c r="M435" t="s">
        <v>1110</v>
      </c>
      <c r="N435" t="s">
        <v>1110</v>
      </c>
      <c r="O435" t="s">
        <v>1337</v>
      </c>
      <c r="P435" t="s">
        <v>1338</v>
      </c>
    </row>
    <row r="436" spans="1:16">
      <c r="A436">
        <v>284252</v>
      </c>
      <c r="B436" s="13" t="str">
        <f t="shared" si="17"/>
        <v>STRONG 100N šedý Polohovací</v>
      </c>
      <c r="C436">
        <v>308</v>
      </c>
      <c r="M436" t="s">
        <v>1112</v>
      </c>
      <c r="N436" t="s">
        <v>1112</v>
      </c>
      <c r="O436" t="s">
        <v>1339</v>
      </c>
      <c r="P436" t="s">
        <v>1340</v>
      </c>
    </row>
    <row r="437" spans="1:16">
      <c r="A437">
        <v>284253</v>
      </c>
      <c r="B437" s="13" t="str">
        <f t="shared" si="17"/>
        <v>STRONG 120N šedý Polohovací</v>
      </c>
      <c r="C437">
        <v>309</v>
      </c>
      <c r="M437" t="s">
        <v>1114</v>
      </c>
      <c r="N437" t="s">
        <v>1114</v>
      </c>
      <c r="O437" t="s">
        <v>1341</v>
      </c>
      <c r="P437" t="s">
        <v>1342</v>
      </c>
    </row>
    <row r="438" spans="1:16">
      <c r="A438" t="s">
        <v>1160</v>
      </c>
      <c r="B438" s="13" t="str">
        <f t="shared" si="17"/>
        <v>HUWIL DUO</v>
      </c>
      <c r="C438">
        <v>310</v>
      </c>
      <c r="M438" t="s">
        <v>1116</v>
      </c>
      <c r="N438" t="s">
        <v>1116</v>
      </c>
      <c r="O438" t="s">
        <v>1116</v>
      </c>
      <c r="P438" t="s">
        <v>1116</v>
      </c>
    </row>
    <row r="439" spans="1:16">
      <c r="A439" t="s">
        <v>1161</v>
      </c>
      <c r="B439" s="13" t="str">
        <f t="shared" si="17"/>
        <v>HUWILIFT MAXI</v>
      </c>
      <c r="C439">
        <v>311</v>
      </c>
      <c r="M439" t="s">
        <v>1120</v>
      </c>
      <c r="N439" t="s">
        <v>1120</v>
      </c>
      <c r="O439" t="s">
        <v>1120</v>
      </c>
      <c r="P439" t="s">
        <v>1120</v>
      </c>
    </row>
    <row r="440" spans="1:16">
      <c r="A440">
        <v>135006</v>
      </c>
      <c r="B440" s="13" t="str">
        <f t="shared" si="17"/>
        <v>KRABY 164 45N</v>
      </c>
      <c r="C440">
        <v>312</v>
      </c>
      <c r="M440" t="s">
        <v>749</v>
      </c>
      <c r="N440" t="s">
        <v>749</v>
      </c>
      <c r="O440" t="s">
        <v>749</v>
      </c>
      <c r="P440" t="s">
        <v>749</v>
      </c>
    </row>
    <row r="441" spans="1:16">
      <c r="A441">
        <v>135007</v>
      </c>
      <c r="B441" s="13" t="str">
        <f t="shared" si="17"/>
        <v>KRABY 164 60N</v>
      </c>
      <c r="C441">
        <v>313</v>
      </c>
      <c r="M441" t="s">
        <v>750</v>
      </c>
      <c r="N441" t="s">
        <v>750</v>
      </c>
      <c r="O441" t="s">
        <v>750</v>
      </c>
      <c r="P441" t="s">
        <v>750</v>
      </c>
    </row>
    <row r="442" spans="1:16">
      <c r="A442">
        <v>15590</v>
      </c>
      <c r="B442" s="13" t="str">
        <f t="shared" si="17"/>
        <v>KRABY 244 45N</v>
      </c>
      <c r="C442">
        <v>314</v>
      </c>
      <c r="M442" t="s">
        <v>751</v>
      </c>
      <c r="N442" t="s">
        <v>751</v>
      </c>
      <c r="O442" t="s">
        <v>751</v>
      </c>
      <c r="P442" t="s">
        <v>751</v>
      </c>
    </row>
    <row r="443" spans="1:16">
      <c r="A443">
        <v>15591</v>
      </c>
      <c r="B443" s="13" t="str">
        <f t="shared" si="17"/>
        <v>KRABY 244 60N</v>
      </c>
      <c r="C443">
        <v>315</v>
      </c>
      <c r="M443" t="s">
        <v>752</v>
      </c>
      <c r="N443" t="s">
        <v>752</v>
      </c>
      <c r="O443" t="s">
        <v>752</v>
      </c>
      <c r="P443" t="s">
        <v>752</v>
      </c>
    </row>
    <row r="444" spans="1:16">
      <c r="A444">
        <v>15592</v>
      </c>
      <c r="B444" s="13" t="str">
        <f t="shared" si="17"/>
        <v>KRABY 244 90N</v>
      </c>
      <c r="C444">
        <v>316</v>
      </c>
      <c r="M444" t="s">
        <v>753</v>
      </c>
      <c r="N444" t="s">
        <v>753</v>
      </c>
      <c r="O444" t="s">
        <v>753</v>
      </c>
      <c r="P444" t="s">
        <v>753</v>
      </c>
    </row>
    <row r="445" spans="1:16">
      <c r="A445">
        <v>15593</v>
      </c>
      <c r="B445" s="13" t="str">
        <f t="shared" si="17"/>
        <v>KRABY 244 120N</v>
      </c>
      <c r="C445">
        <v>317</v>
      </c>
      <c r="M445" t="s">
        <v>754</v>
      </c>
      <c r="N445" t="s">
        <v>754</v>
      </c>
      <c r="O445" t="s">
        <v>754</v>
      </c>
      <c r="P445" t="s">
        <v>754</v>
      </c>
    </row>
    <row r="446" spans="1:16">
      <c r="A446">
        <v>135008</v>
      </c>
      <c r="B446" s="13" t="str">
        <f t="shared" si="17"/>
        <v>KRABY 355 45N</v>
      </c>
      <c r="C446">
        <v>318</v>
      </c>
      <c r="M446" t="s">
        <v>755</v>
      </c>
      <c r="N446" t="s">
        <v>755</v>
      </c>
      <c r="O446" t="s">
        <v>755</v>
      </c>
      <c r="P446" t="s">
        <v>755</v>
      </c>
    </row>
    <row r="447" spans="1:16">
      <c r="A447">
        <v>135009</v>
      </c>
      <c r="B447" s="13" t="str">
        <f t="shared" si="17"/>
        <v>KRABY 355 60N</v>
      </c>
      <c r="C447">
        <v>319</v>
      </c>
      <c r="M447" t="s">
        <v>756</v>
      </c>
      <c r="N447" t="s">
        <v>756</v>
      </c>
      <c r="O447" t="s">
        <v>756</v>
      </c>
      <c r="P447" t="s">
        <v>756</v>
      </c>
    </row>
    <row r="448" spans="1:16">
      <c r="A448">
        <v>135010</v>
      </c>
      <c r="B448" s="13" t="str">
        <f t="shared" si="17"/>
        <v>KRABY 355 90N</v>
      </c>
      <c r="C448">
        <v>320</v>
      </c>
      <c r="M448" t="s">
        <v>757</v>
      </c>
      <c r="N448" t="s">
        <v>757</v>
      </c>
      <c r="O448" t="s">
        <v>757</v>
      </c>
      <c r="P448" t="s">
        <v>757</v>
      </c>
    </row>
    <row r="449" spans="1:16">
      <c r="A449">
        <v>135011</v>
      </c>
      <c r="B449" s="13" t="str">
        <f t="shared" si="17"/>
        <v>KRABY 355 120N</v>
      </c>
      <c r="C449">
        <v>321</v>
      </c>
      <c r="M449" t="s">
        <v>758</v>
      </c>
      <c r="N449" t="s">
        <v>758</v>
      </c>
      <c r="O449" t="s">
        <v>758</v>
      </c>
      <c r="P449" t="s">
        <v>758</v>
      </c>
    </row>
    <row r="450" spans="1:16">
      <c r="A450">
        <v>282471</v>
      </c>
      <c r="B450" s="13" t="str">
        <f t="shared" si="17"/>
        <v>K12 244 50N</v>
      </c>
      <c r="C450">
        <v>322</v>
      </c>
      <c r="M450" t="s">
        <v>1132</v>
      </c>
      <c r="N450" t="s">
        <v>1132</v>
      </c>
      <c r="O450" t="s">
        <v>1132</v>
      </c>
      <c r="P450" t="s">
        <v>1132</v>
      </c>
    </row>
    <row r="451" spans="1:16">
      <c r="A451">
        <v>282472</v>
      </c>
      <c r="B451" s="13" t="str">
        <f t="shared" si="17"/>
        <v>K12 244 80N</v>
      </c>
      <c r="C451">
        <v>323</v>
      </c>
      <c r="M451" t="s">
        <v>1134</v>
      </c>
      <c r="N451" t="s">
        <v>1134</v>
      </c>
      <c r="O451" t="s">
        <v>1134</v>
      </c>
      <c r="P451" t="s">
        <v>1134</v>
      </c>
    </row>
    <row r="452" spans="1:16">
      <c r="A452">
        <v>282473</v>
      </c>
      <c r="B452" s="13" t="str">
        <f t="shared" si="17"/>
        <v>K12 244 100N</v>
      </c>
      <c r="C452">
        <v>324</v>
      </c>
      <c r="M452" t="s">
        <v>1136</v>
      </c>
      <c r="N452" t="s">
        <v>1136</v>
      </c>
      <c r="O452" t="s">
        <v>1136</v>
      </c>
      <c r="P452" t="s">
        <v>1136</v>
      </c>
    </row>
    <row r="453" spans="1:16">
      <c r="A453">
        <v>282474</v>
      </c>
      <c r="B453" s="13" t="str">
        <f t="shared" ref="B453:B498" si="18">IF($D$1=1,M453,IF($D$1=2,N453,IF($D$1=3,O453,IF($D$1=4,P453,0))))</f>
        <v>K12 244 120N</v>
      </c>
      <c r="C453">
        <v>325</v>
      </c>
      <c r="M453" t="s">
        <v>1138</v>
      </c>
      <c r="N453" t="s">
        <v>1138</v>
      </c>
      <c r="O453" t="s">
        <v>1138</v>
      </c>
      <c r="P453" t="s">
        <v>1138</v>
      </c>
    </row>
    <row r="454" spans="1:16">
      <c r="A454">
        <v>282475</v>
      </c>
      <c r="B454" s="13" t="str">
        <f t="shared" si="18"/>
        <v>K12 355 60N</v>
      </c>
      <c r="C454">
        <v>326</v>
      </c>
      <c r="M454" t="s">
        <v>1140</v>
      </c>
      <c r="N454" t="s">
        <v>1140</v>
      </c>
      <c r="O454" t="s">
        <v>1140</v>
      </c>
      <c r="P454" t="s">
        <v>1140</v>
      </c>
    </row>
    <row r="455" spans="1:16">
      <c r="A455">
        <v>282476</v>
      </c>
      <c r="B455" s="13" t="str">
        <f t="shared" si="18"/>
        <v>K12 355 90N</v>
      </c>
      <c r="C455">
        <v>327</v>
      </c>
      <c r="M455" t="s">
        <v>1142</v>
      </c>
      <c r="N455" t="s">
        <v>1142</v>
      </c>
      <c r="O455" t="s">
        <v>1142</v>
      </c>
      <c r="P455" t="s">
        <v>1142</v>
      </c>
    </row>
    <row r="456" spans="1:16">
      <c r="A456">
        <v>282477</v>
      </c>
      <c r="B456" s="13" t="str">
        <f t="shared" si="18"/>
        <v>K12 355 110N</v>
      </c>
      <c r="C456">
        <v>328</v>
      </c>
      <c r="M456" t="s">
        <v>1144</v>
      </c>
      <c r="N456" t="s">
        <v>1144</v>
      </c>
      <c r="O456" t="s">
        <v>1144</v>
      </c>
      <c r="P456" t="s">
        <v>1144</v>
      </c>
    </row>
    <row r="457" spans="1:16">
      <c r="A457">
        <v>282478</v>
      </c>
      <c r="B457" s="13" t="str">
        <f t="shared" si="18"/>
        <v>K12 355 130N</v>
      </c>
      <c r="C457">
        <v>329</v>
      </c>
      <c r="M457" t="s">
        <v>1146</v>
      </c>
      <c r="N457" t="s">
        <v>1146</v>
      </c>
      <c r="O457" t="s">
        <v>1146</v>
      </c>
      <c r="P457" t="s">
        <v>1146</v>
      </c>
    </row>
    <row r="458" spans="1:16">
      <c r="A458">
        <v>275689</v>
      </c>
      <c r="B458" s="13" t="str">
        <f t="shared" si="18"/>
        <v>STRONG spodní bílý</v>
      </c>
      <c r="C458">
        <v>330</v>
      </c>
      <c r="M458" t="s">
        <v>1148</v>
      </c>
      <c r="N458" t="s">
        <v>1343</v>
      </c>
      <c r="O458" t="s">
        <v>1344</v>
      </c>
      <c r="P458" t="s">
        <v>1345</v>
      </c>
    </row>
    <row r="459" spans="1:16">
      <c r="A459">
        <v>248167</v>
      </c>
      <c r="B459" s="13" t="str">
        <f t="shared" si="18"/>
        <v>STRONG spodní šedý</v>
      </c>
      <c r="C459">
        <v>331</v>
      </c>
      <c r="M459" t="s">
        <v>1150</v>
      </c>
      <c r="N459" t="s">
        <v>1346</v>
      </c>
      <c r="O459" t="s">
        <v>1347</v>
      </c>
      <c r="P459" t="s">
        <v>1348</v>
      </c>
    </row>
    <row r="460" spans="1:16">
      <c r="A460" t="s">
        <v>1151</v>
      </c>
      <c r="B460" s="13" t="str">
        <f t="shared" si="18"/>
        <v xml:space="preserve">HUWIL DUO (90°) </v>
      </c>
      <c r="C460">
        <v>332</v>
      </c>
      <c r="M460" t="s">
        <v>1152</v>
      </c>
      <c r="N460" t="s">
        <v>1152</v>
      </c>
      <c r="O460" t="s">
        <v>1152</v>
      </c>
      <c r="P460" t="s">
        <v>1152</v>
      </c>
    </row>
    <row r="461" spans="1:16">
      <c r="A461" t="s">
        <v>1153</v>
      </c>
      <c r="B461" s="13" t="str">
        <f t="shared" si="18"/>
        <v>HUWIL DUO FORTE</v>
      </c>
      <c r="C461">
        <v>333</v>
      </c>
      <c r="M461" t="s">
        <v>1118</v>
      </c>
      <c r="N461" t="s">
        <v>1118</v>
      </c>
      <c r="O461" t="s">
        <v>1118</v>
      </c>
      <c r="P461" t="s">
        <v>1118</v>
      </c>
    </row>
    <row r="462" spans="1:16">
      <c r="A462">
        <v>15588</v>
      </c>
      <c r="B462" s="13" t="str">
        <f t="shared" si="18"/>
        <v>KRABY 164 spodní</v>
      </c>
      <c r="C462">
        <v>334</v>
      </c>
      <c r="M462" t="s">
        <v>1155</v>
      </c>
      <c r="N462" t="s">
        <v>1349</v>
      </c>
      <c r="O462" t="s">
        <v>1350</v>
      </c>
      <c r="P462" t="s">
        <v>1351</v>
      </c>
    </row>
    <row r="463" spans="1:16">
      <c r="A463">
        <v>15594</v>
      </c>
      <c r="B463" s="13" t="str">
        <f t="shared" si="18"/>
        <v>KRABY 244 spodní</v>
      </c>
      <c r="C463">
        <v>335</v>
      </c>
      <c r="M463" t="s">
        <v>1157</v>
      </c>
      <c r="N463" t="s">
        <v>1352</v>
      </c>
      <c r="O463" t="s">
        <v>1353</v>
      </c>
      <c r="P463" t="s">
        <v>1354</v>
      </c>
    </row>
    <row r="464" spans="1:16">
      <c r="A464">
        <v>15589</v>
      </c>
      <c r="B464" s="13" t="str">
        <f t="shared" si="18"/>
        <v>KRABY 355 spodní</v>
      </c>
      <c r="C464">
        <v>336</v>
      </c>
      <c r="M464" t="s">
        <v>1159</v>
      </c>
      <c r="N464" t="s">
        <v>1355</v>
      </c>
      <c r="O464" t="s">
        <v>1356</v>
      </c>
      <c r="P464" t="s">
        <v>1357</v>
      </c>
    </row>
    <row r="465" spans="1:16">
      <c r="A465">
        <v>92613</v>
      </c>
      <c r="B465" s="13" t="str">
        <f t="shared" si="18"/>
        <v>k nasunutí na vrut H0</v>
      </c>
      <c r="C465">
        <v>337</v>
      </c>
      <c r="M465" t="s">
        <v>1179</v>
      </c>
      <c r="N465" t="s">
        <v>1358</v>
      </c>
      <c r="O465" t="s">
        <v>1359</v>
      </c>
      <c r="P465" t="s">
        <v>1360</v>
      </c>
    </row>
    <row r="466" spans="1:16">
      <c r="A466">
        <v>92614</v>
      </c>
      <c r="B466" s="13" t="str">
        <f t="shared" si="18"/>
        <v>k nasunutí EURO šroub H0</v>
      </c>
      <c r="C466">
        <v>338</v>
      </c>
      <c r="M466" t="s">
        <v>1180</v>
      </c>
      <c r="N466" t="s">
        <v>1361</v>
      </c>
      <c r="O466" t="s">
        <v>1362</v>
      </c>
      <c r="P466" t="s">
        <v>1363</v>
      </c>
    </row>
    <row r="467" spans="1:16">
      <c r="A467">
        <v>92592</v>
      </c>
      <c r="B467" s="13" t="str">
        <f t="shared" si="18"/>
        <v>k nasunutí na vrut H2</v>
      </c>
      <c r="C467">
        <v>339</v>
      </c>
      <c r="M467" t="s">
        <v>1181</v>
      </c>
      <c r="N467" t="s">
        <v>1364</v>
      </c>
      <c r="O467" t="s">
        <v>1365</v>
      </c>
      <c r="P467" t="s">
        <v>1366</v>
      </c>
    </row>
    <row r="468" spans="1:16">
      <c r="A468">
        <v>92593</v>
      </c>
      <c r="B468" s="13" t="str">
        <f t="shared" si="18"/>
        <v>k nasunutí EURO šroub H2</v>
      </c>
      <c r="C468">
        <v>340</v>
      </c>
      <c r="M468" t="s">
        <v>1182</v>
      </c>
      <c r="N468" t="s">
        <v>1367</v>
      </c>
      <c r="O468" t="s">
        <v>1368</v>
      </c>
      <c r="P468" t="s">
        <v>1369</v>
      </c>
    </row>
    <row r="469" spans="1:16">
      <c r="A469" t="s">
        <v>148</v>
      </c>
      <c r="B469" s="13" t="str">
        <f t="shared" si="18"/>
        <v>Clip na vrut H2</v>
      </c>
      <c r="C469">
        <v>341</v>
      </c>
      <c r="M469" t="s">
        <v>212</v>
      </c>
      <c r="N469" t="s">
        <v>426</v>
      </c>
      <c r="O469" t="s">
        <v>490</v>
      </c>
      <c r="P469" t="s">
        <v>566</v>
      </c>
    </row>
    <row r="470" spans="1:16">
      <c r="A470" t="s">
        <v>117</v>
      </c>
      <c r="B470" s="13" t="str">
        <f t="shared" si="18"/>
        <v>Clip vrut s excentrem H0</v>
      </c>
      <c r="C470">
        <v>342</v>
      </c>
      <c r="M470" t="s">
        <v>1184</v>
      </c>
      <c r="N470" t="s">
        <v>1370</v>
      </c>
      <c r="O470" t="s">
        <v>1371</v>
      </c>
      <c r="P470" t="s">
        <v>1565</v>
      </c>
    </row>
    <row r="471" spans="1:16">
      <c r="A471" t="s">
        <v>1183</v>
      </c>
      <c r="B471" s="13" t="str">
        <f t="shared" si="18"/>
        <v>Clip na vrut H0</v>
      </c>
      <c r="C471">
        <v>343</v>
      </c>
      <c r="M471" t="s">
        <v>210</v>
      </c>
      <c r="N471" t="s">
        <v>442</v>
      </c>
      <c r="O471" t="s">
        <v>507</v>
      </c>
      <c r="P471" t="s">
        <v>583</v>
      </c>
    </row>
    <row r="472" spans="1:16">
      <c r="B472" s="13" t="str">
        <f t="shared" si="18"/>
        <v>Minimální možný rozměr rámečku je 140x140mm</v>
      </c>
      <c r="M472" t="s">
        <v>1377</v>
      </c>
      <c r="N472" t="s">
        <v>1378</v>
      </c>
      <c r="O472" t="s">
        <v>1379</v>
      </c>
      <c r="P472" t="s">
        <v>1380</v>
      </c>
    </row>
    <row r="473" spans="1:16">
      <c r="A473">
        <v>308058</v>
      </c>
      <c r="B473" s="13" t="str">
        <f t="shared" si="18"/>
        <v xml:space="preserve">Sensys SiSy naložený </v>
      </c>
      <c r="M473" s="184" t="s">
        <v>1382</v>
      </c>
      <c r="N473" t="s">
        <v>1382</v>
      </c>
      <c r="O473" t="s">
        <v>1525</v>
      </c>
      <c r="P473" t="s">
        <v>1526</v>
      </c>
    </row>
    <row r="474" spans="1:16">
      <c r="A474">
        <v>308454</v>
      </c>
      <c r="B474" s="13" t="str">
        <f t="shared" si="18"/>
        <v xml:space="preserve">Sensys SiSy polonaložený </v>
      </c>
      <c r="M474" s="184" t="s">
        <v>1383</v>
      </c>
      <c r="N474" t="s">
        <v>1383</v>
      </c>
      <c r="O474" t="s">
        <v>1533</v>
      </c>
      <c r="P474" t="s">
        <v>1534</v>
      </c>
    </row>
    <row r="475" spans="1:16">
      <c r="A475">
        <v>308455</v>
      </c>
      <c r="B475" s="13" t="str">
        <f t="shared" si="18"/>
        <v xml:space="preserve">Sensys SiSy vložený </v>
      </c>
      <c r="M475" s="184" t="s">
        <v>1384</v>
      </c>
      <c r="N475" s="72" t="s">
        <v>1552</v>
      </c>
      <c r="O475" s="72" t="s">
        <v>1553</v>
      </c>
      <c r="P475" s="72" t="s">
        <v>1554</v>
      </c>
    </row>
    <row r="476" spans="1:16">
      <c r="A476">
        <v>336503</v>
      </c>
      <c r="B476" s="13" t="str">
        <f t="shared" si="18"/>
        <v xml:space="preserve">Sensys P2o naložený </v>
      </c>
      <c r="M476" s="184" t="s">
        <v>1385</v>
      </c>
      <c r="N476" t="s">
        <v>1385</v>
      </c>
      <c r="O476" t="s">
        <v>1527</v>
      </c>
      <c r="P476" t="s">
        <v>1528</v>
      </c>
    </row>
    <row r="477" spans="1:16">
      <c r="A477">
        <v>336506</v>
      </c>
      <c r="B477" s="13" t="str">
        <f t="shared" si="18"/>
        <v xml:space="preserve">Sensys P2o polonaložený </v>
      </c>
      <c r="M477" s="184" t="s">
        <v>1386</v>
      </c>
      <c r="N477" t="s">
        <v>1386</v>
      </c>
      <c r="O477" t="s">
        <v>1535</v>
      </c>
      <c r="P477" t="s">
        <v>1536</v>
      </c>
    </row>
    <row r="478" spans="1:16">
      <c r="A478">
        <v>346823</v>
      </c>
      <c r="B478" s="13" t="str">
        <f t="shared" si="18"/>
        <v xml:space="preserve">Sensys P2o vložený </v>
      </c>
      <c r="M478" s="184" t="s">
        <v>1387</v>
      </c>
      <c r="N478" s="72" t="s">
        <v>1555</v>
      </c>
      <c r="O478" s="72" t="s">
        <v>1556</v>
      </c>
      <c r="P478" s="72" t="s">
        <v>1557</v>
      </c>
    </row>
    <row r="479" spans="1:16">
      <c r="A479" s="183">
        <v>300285</v>
      </c>
      <c r="B479" s="13" t="str">
        <f t="shared" si="18"/>
        <v>Sensys naložený P2O</v>
      </c>
      <c r="M479" s="184" t="s">
        <v>1388</v>
      </c>
      <c r="N479" t="s">
        <v>1385</v>
      </c>
      <c r="O479" t="s">
        <v>1527</v>
      </c>
      <c r="P479" t="s">
        <v>1528</v>
      </c>
    </row>
    <row r="480" spans="1:16">
      <c r="A480">
        <v>306317</v>
      </c>
      <c r="B480" s="13" t="str">
        <f t="shared" si="18"/>
        <v>naložený s tlumením clip 110°, ONYX</v>
      </c>
      <c r="M480" t="s">
        <v>1389</v>
      </c>
      <c r="N480" t="s">
        <v>1529</v>
      </c>
      <c r="O480" t="s">
        <v>1530</v>
      </c>
      <c r="P480" t="s">
        <v>1549</v>
      </c>
    </row>
    <row r="481" spans="1:16">
      <c r="A481">
        <v>306318</v>
      </c>
      <c r="B481" s="13" t="str">
        <f t="shared" si="18"/>
        <v>polonaložený s tlumením clip 110°, ONYX</v>
      </c>
      <c r="M481" t="s">
        <v>1390</v>
      </c>
      <c r="N481" t="s">
        <v>1531</v>
      </c>
      <c r="O481" t="s">
        <v>1532</v>
      </c>
      <c r="P481" t="s">
        <v>1550</v>
      </c>
    </row>
    <row r="482" spans="1:16">
      <c r="A482">
        <v>306319</v>
      </c>
      <c r="B482" s="13" t="str">
        <f t="shared" si="18"/>
        <v>vložený s tlumením clip 110°, ONYX</v>
      </c>
      <c r="M482" t="s">
        <v>1391</v>
      </c>
      <c r="N482" t="s">
        <v>1558</v>
      </c>
      <c r="O482" t="s">
        <v>1559</v>
      </c>
      <c r="P482" t="s">
        <v>1560</v>
      </c>
    </row>
    <row r="483" spans="1:16">
      <c r="A483">
        <v>306329</v>
      </c>
      <c r="B483" s="13" t="str">
        <f t="shared" si="18"/>
        <v>naložený 95°, Onyx</v>
      </c>
      <c r="M483" t="s">
        <v>1392</v>
      </c>
      <c r="N483" t="s">
        <v>1537</v>
      </c>
      <c r="O483" t="s">
        <v>1538</v>
      </c>
      <c r="P483" t="s">
        <v>1551</v>
      </c>
    </row>
    <row r="484" spans="1:16">
      <c r="B484" s="13" t="str">
        <f t="shared" si="18"/>
        <v>STRONGHINGES</v>
      </c>
      <c r="M484" t="s">
        <v>3726</v>
      </c>
      <c r="N484" t="s">
        <v>3726</v>
      </c>
      <c r="O484" t="s">
        <v>3726</v>
      </c>
      <c r="P484" t="s">
        <v>3726</v>
      </c>
    </row>
    <row r="485" spans="1:16">
      <c r="A485">
        <v>350837</v>
      </c>
      <c r="B485" s="13" t="str">
        <f t="shared" si="18"/>
        <v>StrongHinges naložený clip bez pružiny</v>
      </c>
      <c r="M485" t="s">
        <v>3699</v>
      </c>
      <c r="N485" s="72" t="s">
        <v>3700</v>
      </c>
      <c r="O485" s="72" t="s">
        <v>3701</v>
      </c>
      <c r="P485" s="72" t="s">
        <v>3702</v>
      </c>
    </row>
    <row r="486" spans="1:16">
      <c r="A486">
        <v>350838</v>
      </c>
      <c r="B486" s="13" t="str">
        <f t="shared" si="18"/>
        <v>StrongHinges naložený clip bez pružiny</v>
      </c>
      <c r="M486" t="s">
        <v>3699</v>
      </c>
      <c r="N486" s="72" t="s">
        <v>3703</v>
      </c>
      <c r="O486" s="72" t="s">
        <v>3754</v>
      </c>
      <c r="P486" s="72" t="s">
        <v>3755</v>
      </c>
    </row>
    <row r="487" spans="1:16">
      <c r="A487">
        <v>350839</v>
      </c>
      <c r="B487" s="13" t="str">
        <f t="shared" si="18"/>
        <v>StrongHinges vložený clip bez pružiny</v>
      </c>
      <c r="M487" t="s">
        <v>3759</v>
      </c>
      <c r="N487" s="72" t="s">
        <v>3704</v>
      </c>
      <c r="O487" s="72" t="s">
        <v>3705</v>
      </c>
      <c r="P487" s="72" t="s">
        <v>3756</v>
      </c>
    </row>
    <row r="488" spans="1:16">
      <c r="A488">
        <v>350856</v>
      </c>
      <c r="B488" s="13" t="str">
        <f t="shared" si="18"/>
        <v>StrongHinges 30° clip bez pružiny</v>
      </c>
      <c r="M488" t="s">
        <v>3706</v>
      </c>
      <c r="N488" s="72" t="s">
        <v>3707</v>
      </c>
      <c r="O488" s="72" t="s">
        <v>3708</v>
      </c>
      <c r="P488" s="72" t="s">
        <v>3709</v>
      </c>
    </row>
    <row r="489" spans="1:16">
      <c r="A489" s="205">
        <v>350827</v>
      </c>
      <c r="B489" s="13" t="str">
        <f t="shared" si="18"/>
        <v>StrongHinges naložený clip</v>
      </c>
      <c r="M489" t="s">
        <v>3710</v>
      </c>
      <c r="N489" t="s">
        <v>3710</v>
      </c>
      <c r="O489" t="s">
        <v>3711</v>
      </c>
      <c r="P489" t="s">
        <v>3712</v>
      </c>
    </row>
    <row r="490" spans="1:16">
      <c r="A490" s="205">
        <v>350828</v>
      </c>
      <c r="B490" s="13" t="str">
        <f t="shared" si="18"/>
        <v>StrongHinges polonaložený clip</v>
      </c>
      <c r="M490" t="s">
        <v>3713</v>
      </c>
      <c r="N490" t="s">
        <v>3713</v>
      </c>
      <c r="O490" t="s">
        <v>3714</v>
      </c>
      <c r="P490" t="s">
        <v>3757</v>
      </c>
    </row>
    <row r="491" spans="1:16">
      <c r="A491" s="205">
        <v>350829</v>
      </c>
      <c r="B491" s="13" t="str">
        <f t="shared" si="18"/>
        <v>StrongHinges vložený clip</v>
      </c>
      <c r="M491" t="s">
        <v>3715</v>
      </c>
      <c r="N491" s="72" t="s">
        <v>3715</v>
      </c>
      <c r="O491" s="72" t="s">
        <v>3716</v>
      </c>
      <c r="P491" s="72" t="s">
        <v>3758</v>
      </c>
    </row>
    <row r="492" spans="1:16">
      <c r="A492" s="205">
        <v>350854</v>
      </c>
      <c r="B492" s="13" t="str">
        <f t="shared" si="18"/>
        <v>StrongHinges 30°clip</v>
      </c>
      <c r="M492" t="s">
        <v>3717</v>
      </c>
      <c r="N492" t="s">
        <v>3717</v>
      </c>
      <c r="O492" t="s">
        <v>3717</v>
      </c>
      <c r="P492" t="s">
        <v>3717</v>
      </c>
    </row>
    <row r="493" spans="1:16">
      <c r="A493" s="66">
        <v>350863</v>
      </c>
      <c r="B493" s="13" t="str">
        <f t="shared" si="18"/>
        <v>StrongHinges naložený clip</v>
      </c>
      <c r="M493" t="s">
        <v>3710</v>
      </c>
      <c r="N493" t="s">
        <v>3710</v>
      </c>
      <c r="O493" t="s">
        <v>3711</v>
      </c>
      <c r="P493" t="s">
        <v>3712</v>
      </c>
    </row>
    <row r="494" spans="1:16">
      <c r="A494" s="66">
        <v>350864</v>
      </c>
      <c r="B494" s="13" t="str">
        <f t="shared" si="18"/>
        <v>StrongHinges naložený clip bez pružiny</v>
      </c>
      <c r="M494" t="s">
        <v>3699</v>
      </c>
      <c r="N494" s="72" t="s">
        <v>3700</v>
      </c>
      <c r="O494" s="72" t="s">
        <v>3701</v>
      </c>
      <c r="P494" s="72" t="s">
        <v>3702</v>
      </c>
    </row>
    <row r="495" spans="1:16">
      <c r="A495" s="66">
        <v>315856</v>
      </c>
      <c r="B495" s="13" t="str">
        <f t="shared" si="18"/>
        <v>StrongHinges Clip vrut s excentrem H0</v>
      </c>
      <c r="M495" t="s">
        <v>3718</v>
      </c>
      <c r="N495" t="s">
        <v>3719</v>
      </c>
      <c r="O495" t="s">
        <v>3720</v>
      </c>
      <c r="P495" t="s">
        <v>3721</v>
      </c>
    </row>
    <row r="496" spans="1:16">
      <c r="A496" s="66">
        <v>350868</v>
      </c>
      <c r="B496" s="13" t="str">
        <f t="shared" si="18"/>
        <v>StrongHinges Clip vrut s excentrem H2</v>
      </c>
      <c r="M496" t="s">
        <v>3722</v>
      </c>
      <c r="N496" t="s">
        <v>3723</v>
      </c>
      <c r="O496" t="s">
        <v>3724</v>
      </c>
      <c r="P496" t="s">
        <v>3725</v>
      </c>
    </row>
    <row r="497" spans="2:16">
      <c r="B497" s="13" t="str">
        <f t="shared" si="18"/>
        <v>Úvod</v>
      </c>
      <c r="M497" t="s">
        <v>1566</v>
      </c>
      <c r="N497" t="s">
        <v>1566</v>
      </c>
      <c r="O497" t="s">
        <v>1567</v>
      </c>
      <c r="P497" t="s">
        <v>1568</v>
      </c>
    </row>
    <row r="498" spans="2:16">
      <c r="B498" s="13" t="str">
        <f t="shared" si="18"/>
        <v>Maximální možný rozměr rámečku Corleone je 1500x600mm</v>
      </c>
      <c r="C498">
        <v>164</v>
      </c>
      <c r="M498" s="12" t="s">
        <v>1579</v>
      </c>
      <c r="N498" t="s">
        <v>1580</v>
      </c>
      <c r="O498" t="s">
        <v>1581</v>
      </c>
      <c r="P498" t="s">
        <v>1582</v>
      </c>
    </row>
    <row r="499" spans="2:16">
      <c r="B499" s="13"/>
      <c r="M499"/>
    </row>
    <row r="500" spans="2:16">
      <c r="B500" s="13"/>
      <c r="M500"/>
    </row>
    <row r="501" spans="2:16">
      <c r="B501" s="13"/>
      <c r="M501"/>
    </row>
    <row r="502" spans="2:16">
      <c r="B502" s="13"/>
      <c r="M502"/>
    </row>
    <row r="503" spans="2:16">
      <c r="B503" s="13"/>
      <c r="M503"/>
    </row>
    <row r="504" spans="2:16">
      <c r="B504" s="13"/>
      <c r="M504"/>
    </row>
    <row r="505" spans="2:16">
      <c r="B505" s="13"/>
      <c r="M505"/>
    </row>
    <row r="506" spans="2:16">
      <c r="B506" s="13"/>
      <c r="M506"/>
    </row>
    <row r="507" spans="2:16">
      <c r="B507" s="13"/>
      <c r="M507"/>
    </row>
    <row r="508" spans="2:16">
      <c r="B508" s="13"/>
      <c r="M508"/>
    </row>
    <row r="509" spans="2:16">
      <c r="B509" s="13"/>
      <c r="M509"/>
    </row>
    <row r="510" spans="2:16">
      <c r="B510" s="13"/>
      <c r="M510"/>
    </row>
    <row r="511" spans="2:16">
      <c r="B511" s="13"/>
      <c r="M511"/>
    </row>
    <row r="512" spans="2:16">
      <c r="B512" s="13"/>
      <c r="M512"/>
    </row>
    <row r="513" spans="2:13">
      <c r="B513" s="13"/>
      <c r="M513"/>
    </row>
    <row r="514" spans="2:13">
      <c r="B514" s="13"/>
      <c r="M514"/>
    </row>
    <row r="515" spans="2:13">
      <c r="B515" s="13"/>
      <c r="M515"/>
    </row>
    <row r="516" spans="2:13">
      <c r="B516" s="13"/>
      <c r="M516"/>
    </row>
    <row r="517" spans="2:13">
      <c r="B517" s="13"/>
      <c r="M517"/>
    </row>
    <row r="518" spans="2:13">
      <c r="B518" s="13"/>
      <c r="M518"/>
    </row>
    <row r="519" spans="2:13">
      <c r="B519" s="13"/>
      <c r="M519"/>
    </row>
    <row r="520" spans="2:13">
      <c r="B520" s="13"/>
      <c r="M520"/>
    </row>
    <row r="521" spans="2:13">
      <c r="B521" s="13"/>
      <c r="M521"/>
    </row>
    <row r="522" spans="2:13">
      <c r="B522" s="13"/>
      <c r="M522"/>
    </row>
    <row r="523" spans="2:13">
      <c r="B523" s="13"/>
      <c r="M523"/>
    </row>
    <row r="524" spans="2:13">
      <c r="B524" s="13"/>
      <c r="M524"/>
    </row>
    <row r="525" spans="2:13">
      <c r="B525" s="13"/>
      <c r="M525"/>
    </row>
    <row r="526" spans="2:13">
      <c r="B526" s="13"/>
      <c r="M526"/>
    </row>
    <row r="527" spans="2:13">
      <c r="B527" s="13"/>
      <c r="M527"/>
    </row>
    <row r="528" spans="2:13">
      <c r="B528" s="13"/>
      <c r="M528"/>
    </row>
    <row r="529" spans="2:13">
      <c r="B529" s="13"/>
      <c r="M529"/>
    </row>
    <row r="530" spans="2:13">
      <c r="B530" s="13"/>
      <c r="M530"/>
    </row>
    <row r="531" spans="2:13">
      <c r="B531" s="13"/>
      <c r="M531"/>
    </row>
    <row r="532" spans="2:13">
      <c r="B532" s="13"/>
      <c r="M532"/>
    </row>
    <row r="533" spans="2:13">
      <c r="B533" s="13"/>
      <c r="M533"/>
    </row>
    <row r="534" spans="2:13">
      <c r="B534" s="13"/>
      <c r="M534"/>
    </row>
    <row r="535" spans="2:13">
      <c r="B535" s="13"/>
      <c r="M535"/>
    </row>
    <row r="536" spans="2:13">
      <c r="B536" s="13"/>
      <c r="M536"/>
    </row>
    <row r="537" spans="2:13">
      <c r="B537" s="13"/>
      <c r="M537"/>
    </row>
    <row r="538" spans="2:13">
      <c r="B538" s="13"/>
      <c r="M538"/>
    </row>
    <row r="539" spans="2:13">
      <c r="B539" s="13"/>
      <c r="M539"/>
    </row>
    <row r="540" spans="2:13">
      <c r="B540" s="13"/>
      <c r="M540"/>
    </row>
    <row r="541" spans="2:13">
      <c r="B541" s="13"/>
      <c r="M541"/>
    </row>
    <row r="542" spans="2:13">
      <c r="B542" s="13"/>
      <c r="M542"/>
    </row>
    <row r="543" spans="2:13">
      <c r="B543" s="13"/>
      <c r="M543"/>
    </row>
    <row r="544" spans="2:13">
      <c r="B544" s="13"/>
      <c r="M544"/>
    </row>
    <row r="545" spans="2:13">
      <c r="B545" s="13"/>
      <c r="M545"/>
    </row>
    <row r="546" spans="2:13">
      <c r="B546" s="13"/>
      <c r="M546"/>
    </row>
    <row r="547" spans="2:13">
      <c r="B547" s="13"/>
      <c r="M547"/>
    </row>
    <row r="548" spans="2:13">
      <c r="B548" s="13"/>
      <c r="M548"/>
    </row>
    <row r="549" spans="2:13">
      <c r="B549" s="13"/>
      <c r="M549"/>
    </row>
    <row r="550" spans="2:13">
      <c r="B550" s="13"/>
      <c r="M550"/>
    </row>
    <row r="551" spans="2:13">
      <c r="B551" s="13"/>
      <c r="M551"/>
    </row>
    <row r="552" spans="2:13">
      <c r="B552" s="13"/>
      <c r="M552"/>
    </row>
    <row r="553" spans="2:13">
      <c r="B553" s="13"/>
      <c r="M553"/>
    </row>
    <row r="554" spans="2:13">
      <c r="B554" s="13"/>
      <c r="M554"/>
    </row>
    <row r="555" spans="2:13">
      <c r="B555" s="13"/>
      <c r="M555"/>
    </row>
    <row r="556" spans="2:13">
      <c r="B556" s="13"/>
      <c r="M556"/>
    </row>
    <row r="557" spans="2:13">
      <c r="B557" s="13"/>
      <c r="M557"/>
    </row>
    <row r="558" spans="2:13">
      <c r="B558" s="13"/>
      <c r="M558"/>
    </row>
    <row r="559" spans="2:13">
      <c r="B559" s="13"/>
      <c r="M559"/>
    </row>
    <row r="560" spans="2:13">
      <c r="B560" s="13"/>
      <c r="M560"/>
    </row>
    <row r="561" spans="2:13">
      <c r="B561" s="13"/>
      <c r="M561"/>
    </row>
    <row r="562" spans="2:13">
      <c r="B562" s="13"/>
      <c r="M562"/>
    </row>
    <row r="563" spans="2:13">
      <c r="B563" s="13"/>
      <c r="M563"/>
    </row>
    <row r="564" spans="2:13">
      <c r="B564" s="13"/>
      <c r="M564"/>
    </row>
    <row r="565" spans="2:13">
      <c r="B565" s="13"/>
      <c r="M565"/>
    </row>
    <row r="566" spans="2:13">
      <c r="B566" s="13"/>
      <c r="M566"/>
    </row>
    <row r="567" spans="2:13">
      <c r="B567" s="13"/>
      <c r="M567"/>
    </row>
    <row r="568" spans="2:13">
      <c r="B568" s="13"/>
      <c r="M568"/>
    </row>
    <row r="569" spans="2:13">
      <c r="B569" s="13"/>
      <c r="M569"/>
    </row>
    <row r="570" spans="2:13">
      <c r="B570" s="13"/>
      <c r="M570"/>
    </row>
    <row r="571" spans="2:13">
      <c r="B571" s="13"/>
      <c r="M571"/>
    </row>
    <row r="572" spans="2:13">
      <c r="B572" s="13"/>
      <c r="M572"/>
    </row>
    <row r="573" spans="2:13">
      <c r="B573" s="13"/>
      <c r="M573"/>
    </row>
    <row r="574" spans="2:13">
      <c r="B574" s="13"/>
      <c r="M574"/>
    </row>
    <row r="575" spans="2:13">
      <c r="B575" s="13"/>
      <c r="M575"/>
    </row>
    <row r="576" spans="2:13">
      <c r="B576" s="13"/>
      <c r="M576"/>
    </row>
    <row r="577" spans="2:13">
      <c r="B577" s="13"/>
      <c r="M577"/>
    </row>
    <row r="578" spans="2:13">
      <c r="B578" s="13"/>
      <c r="M578"/>
    </row>
    <row r="579" spans="2:13">
      <c r="B579" s="13"/>
      <c r="M579"/>
    </row>
    <row r="580" spans="2:13">
      <c r="B580" s="13"/>
      <c r="M580"/>
    </row>
    <row r="581" spans="2:13">
      <c r="B581" s="13"/>
      <c r="M581"/>
    </row>
    <row r="582" spans="2:13">
      <c r="B582" s="13"/>
      <c r="M582"/>
    </row>
    <row r="583" spans="2:13">
      <c r="B583" s="13"/>
      <c r="M583"/>
    </row>
    <row r="584" spans="2:13">
      <c r="B584" s="13"/>
      <c r="M584"/>
    </row>
    <row r="585" spans="2:13">
      <c r="B585" s="13"/>
      <c r="M585"/>
    </row>
    <row r="586" spans="2:13">
      <c r="B586" s="13"/>
      <c r="M586"/>
    </row>
    <row r="587" spans="2:13">
      <c r="B587" s="13"/>
      <c r="M587"/>
    </row>
    <row r="588" spans="2:13">
      <c r="B588" s="13"/>
      <c r="M588"/>
    </row>
    <row r="589" spans="2:13">
      <c r="B589" s="13"/>
      <c r="M589"/>
    </row>
    <row r="590" spans="2:13">
      <c r="B590" s="13"/>
      <c r="M590"/>
    </row>
    <row r="591" spans="2:13">
      <c r="B591" s="13"/>
      <c r="M591"/>
    </row>
    <row r="592" spans="2:13">
      <c r="B592" s="13"/>
      <c r="M592"/>
    </row>
    <row r="593" spans="2:13">
      <c r="B593" s="13"/>
      <c r="M593"/>
    </row>
    <row r="594" spans="2:13">
      <c r="B594" s="13"/>
      <c r="M594"/>
    </row>
    <row r="595" spans="2:13">
      <c r="B595" s="13"/>
      <c r="M595"/>
    </row>
    <row r="596" spans="2:13">
      <c r="B596" s="13"/>
      <c r="M596"/>
    </row>
    <row r="597" spans="2:13">
      <c r="B597" s="13"/>
      <c r="M597"/>
    </row>
    <row r="598" spans="2:13">
      <c r="B598" s="13"/>
      <c r="M598"/>
    </row>
    <row r="599" spans="2:13">
      <c r="B599" s="13"/>
      <c r="M599"/>
    </row>
    <row r="600" spans="2:13">
      <c r="B600" s="13"/>
      <c r="M600"/>
    </row>
    <row r="601" spans="2:13">
      <c r="B601" s="13"/>
      <c r="M601"/>
    </row>
    <row r="602" spans="2:13">
      <c r="B602" s="13"/>
      <c r="M602"/>
    </row>
    <row r="603" spans="2:13">
      <c r="B603" s="13"/>
      <c r="M603"/>
    </row>
    <row r="604" spans="2:13">
      <c r="B604" s="13"/>
      <c r="M604"/>
    </row>
    <row r="605" spans="2:13">
      <c r="B605" s="13"/>
      <c r="M605"/>
    </row>
    <row r="606" spans="2:13">
      <c r="B606" s="13"/>
      <c r="M606"/>
    </row>
    <row r="607" spans="2:13">
      <c r="B607" s="13"/>
      <c r="M607"/>
    </row>
    <row r="608" spans="2:13">
      <c r="B608" s="13"/>
      <c r="M608"/>
    </row>
    <row r="609" spans="2:13">
      <c r="B609" s="13"/>
      <c r="M609"/>
    </row>
    <row r="610" spans="2:13">
      <c r="B610" s="13"/>
      <c r="M610"/>
    </row>
    <row r="611" spans="2:13">
      <c r="B611" s="13"/>
      <c r="M611"/>
    </row>
    <row r="612" spans="2:13">
      <c r="B612" s="13"/>
      <c r="M612"/>
    </row>
    <row r="613" spans="2:13">
      <c r="B613" s="13"/>
      <c r="M613"/>
    </row>
    <row r="614" spans="2:13">
      <c r="B614" s="13"/>
      <c r="M614"/>
    </row>
    <row r="615" spans="2:13">
      <c r="B615" s="13"/>
      <c r="M615"/>
    </row>
    <row r="616" spans="2:13">
      <c r="B616" s="13"/>
      <c r="M616"/>
    </row>
    <row r="617" spans="2:13">
      <c r="B617" s="13"/>
      <c r="M617"/>
    </row>
    <row r="618" spans="2:13">
      <c r="B618" s="13"/>
      <c r="M618"/>
    </row>
    <row r="619" spans="2:13">
      <c r="B619" s="13"/>
      <c r="M619"/>
    </row>
    <row r="620" spans="2:13">
      <c r="B620" s="13"/>
      <c r="M620"/>
    </row>
    <row r="621" spans="2:13">
      <c r="B621" s="13"/>
      <c r="M621"/>
    </row>
    <row r="622" spans="2:13">
      <c r="B622" s="13"/>
      <c r="M622"/>
    </row>
    <row r="623" spans="2:13">
      <c r="B623" s="13"/>
      <c r="M623"/>
    </row>
    <row r="624" spans="2:13">
      <c r="B624" s="13"/>
      <c r="M624"/>
    </row>
    <row r="625" spans="2:13">
      <c r="B625" s="13"/>
      <c r="M625"/>
    </row>
    <row r="626" spans="2:13">
      <c r="B626" s="13"/>
      <c r="M626"/>
    </row>
    <row r="627" spans="2:13">
      <c r="B627" s="13"/>
      <c r="M627"/>
    </row>
    <row r="628" spans="2:13">
      <c r="B628" s="13"/>
      <c r="M628"/>
    </row>
    <row r="629" spans="2:13">
      <c r="B629" s="13"/>
      <c r="M629"/>
    </row>
    <row r="630" spans="2:13">
      <c r="B630" s="13"/>
      <c r="M630"/>
    </row>
    <row r="631" spans="2:13">
      <c r="B631" s="13"/>
      <c r="M631"/>
    </row>
    <row r="632" spans="2:13">
      <c r="B632" s="13"/>
      <c r="M632"/>
    </row>
    <row r="633" spans="2:13">
      <c r="B633" s="13"/>
      <c r="M633"/>
    </row>
    <row r="634" spans="2:13">
      <c r="B634" s="13"/>
      <c r="M634"/>
    </row>
    <row r="635" spans="2:13">
      <c r="B635" s="13"/>
      <c r="M635"/>
    </row>
    <row r="636" spans="2:13">
      <c r="B636" s="13"/>
      <c r="M636"/>
    </row>
    <row r="637" spans="2:13">
      <c r="B637" s="13"/>
      <c r="M637"/>
    </row>
    <row r="638" spans="2:13">
      <c r="B638" s="13"/>
      <c r="M638"/>
    </row>
    <row r="639" spans="2:13">
      <c r="B639" s="13"/>
      <c r="M639"/>
    </row>
    <row r="640" spans="2:13">
      <c r="B640" s="13"/>
      <c r="M640"/>
    </row>
    <row r="641" spans="2:13">
      <c r="B641" s="13"/>
      <c r="M641"/>
    </row>
    <row r="642" spans="2:13">
      <c r="B642" s="13"/>
      <c r="M642"/>
    </row>
    <row r="643" spans="2:13">
      <c r="B643" s="13"/>
      <c r="M643"/>
    </row>
    <row r="644" spans="2:13">
      <c r="B644" s="13"/>
      <c r="M644"/>
    </row>
    <row r="645" spans="2:13">
      <c r="B645" s="13"/>
      <c r="M645"/>
    </row>
    <row r="646" spans="2:13">
      <c r="B646" s="13"/>
      <c r="M646"/>
    </row>
    <row r="647" spans="2:13">
      <c r="B647" s="13"/>
      <c r="M647"/>
    </row>
    <row r="648" spans="2:13">
      <c r="B648" s="13"/>
      <c r="M648"/>
    </row>
    <row r="649" spans="2:13">
      <c r="B649" s="13"/>
      <c r="M649"/>
    </row>
    <row r="650" spans="2:13">
      <c r="B650" s="13"/>
      <c r="M650"/>
    </row>
    <row r="651" spans="2:13">
      <c r="B651" s="13"/>
      <c r="M651"/>
    </row>
    <row r="652" spans="2:13">
      <c r="B652" s="13"/>
      <c r="M652"/>
    </row>
    <row r="653" spans="2:13">
      <c r="B653" s="13"/>
      <c r="M653"/>
    </row>
    <row r="654" spans="2:13">
      <c r="B654" s="13"/>
      <c r="M654"/>
    </row>
    <row r="655" spans="2:13">
      <c r="B655" s="13"/>
      <c r="M655"/>
    </row>
    <row r="656" spans="2:13">
      <c r="B656" s="13"/>
      <c r="M656"/>
    </row>
    <row r="657" spans="2:13">
      <c r="B657" s="13"/>
      <c r="M657"/>
    </row>
    <row r="658" spans="2:13">
      <c r="B658" s="13"/>
      <c r="M658"/>
    </row>
    <row r="659" spans="2:13">
      <c r="B659" s="13"/>
      <c r="M659"/>
    </row>
    <row r="660" spans="2:13">
      <c r="B660" s="13"/>
      <c r="M660"/>
    </row>
    <row r="661" spans="2:13">
      <c r="B661" s="13"/>
      <c r="M661"/>
    </row>
    <row r="662" spans="2:13">
      <c r="B662" s="13"/>
      <c r="M662"/>
    </row>
    <row r="663" spans="2:13">
      <c r="B663" s="13"/>
      <c r="M663"/>
    </row>
    <row r="664" spans="2:13">
      <c r="B664" s="13"/>
      <c r="M664"/>
    </row>
    <row r="665" spans="2:13">
      <c r="B665" s="13"/>
      <c r="M665"/>
    </row>
    <row r="666" spans="2:13">
      <c r="B666" s="13"/>
      <c r="M666"/>
    </row>
    <row r="667" spans="2:13">
      <c r="B667" s="13"/>
      <c r="M667"/>
    </row>
    <row r="668" spans="2:13">
      <c r="B668" s="13"/>
      <c r="M668"/>
    </row>
    <row r="669" spans="2:13">
      <c r="B669" s="13"/>
      <c r="M669"/>
    </row>
    <row r="670" spans="2:13">
      <c r="B670" s="13"/>
      <c r="M670"/>
    </row>
    <row r="671" spans="2:13">
      <c r="B671" s="13"/>
      <c r="M671"/>
    </row>
    <row r="672" spans="2:13">
      <c r="B672" s="13"/>
      <c r="M672"/>
    </row>
    <row r="673" spans="2:13">
      <c r="B673" s="13"/>
      <c r="M673"/>
    </row>
    <row r="674" spans="2:13">
      <c r="B674" s="13"/>
      <c r="M674"/>
    </row>
    <row r="675" spans="2:13">
      <c r="B675" s="13"/>
      <c r="M675"/>
    </row>
    <row r="676" spans="2:13">
      <c r="B676" s="13"/>
      <c r="M676"/>
    </row>
    <row r="677" spans="2:13">
      <c r="B677" s="13"/>
      <c r="M677"/>
    </row>
    <row r="678" spans="2:13">
      <c r="B678" s="13"/>
      <c r="M678"/>
    </row>
    <row r="679" spans="2:13">
      <c r="B679" s="13"/>
      <c r="M679"/>
    </row>
    <row r="680" spans="2:13">
      <c r="B680" s="13"/>
      <c r="M680"/>
    </row>
    <row r="681" spans="2:13">
      <c r="B681" s="13"/>
      <c r="M681"/>
    </row>
    <row r="682" spans="2:13">
      <c r="B682" s="13"/>
      <c r="M682"/>
    </row>
    <row r="683" spans="2:13">
      <c r="B683" s="13"/>
      <c r="M683"/>
    </row>
    <row r="684" spans="2:13">
      <c r="B684" s="13"/>
      <c r="M684"/>
    </row>
    <row r="685" spans="2:13">
      <c r="B685" s="13"/>
      <c r="M685"/>
    </row>
    <row r="686" spans="2:13">
      <c r="B686" s="13"/>
      <c r="M686"/>
    </row>
    <row r="687" spans="2:13">
      <c r="B687" s="13"/>
      <c r="M687"/>
    </row>
    <row r="688" spans="2:13">
      <c r="B688" s="13"/>
      <c r="M688"/>
    </row>
    <row r="689" spans="2:13">
      <c r="B689" s="13"/>
      <c r="M689"/>
    </row>
    <row r="690" spans="2:13">
      <c r="B690" s="13"/>
      <c r="M690"/>
    </row>
    <row r="691" spans="2:13">
      <c r="B691" s="13"/>
      <c r="M691"/>
    </row>
    <row r="692" spans="2:13">
      <c r="B692" s="13"/>
      <c r="M692"/>
    </row>
    <row r="693" spans="2:13">
      <c r="B693" s="13"/>
      <c r="M693"/>
    </row>
    <row r="694" spans="2:13">
      <c r="B694" s="13"/>
      <c r="M694"/>
    </row>
    <row r="695" spans="2:13">
      <c r="B695" s="13"/>
      <c r="M695"/>
    </row>
    <row r="696" spans="2:13">
      <c r="B696" s="13"/>
      <c r="M696"/>
    </row>
    <row r="697" spans="2:13">
      <c r="B697" s="13"/>
      <c r="M697"/>
    </row>
    <row r="698" spans="2:13">
      <c r="B698" s="13"/>
      <c r="M698"/>
    </row>
    <row r="699" spans="2:13">
      <c r="B699" s="13"/>
      <c r="M699"/>
    </row>
    <row r="700" spans="2:13">
      <c r="B700" s="13"/>
      <c r="M700"/>
    </row>
    <row r="701" spans="2:13">
      <c r="B701" s="13"/>
      <c r="M701"/>
    </row>
    <row r="702" spans="2:13">
      <c r="B702" s="13"/>
      <c r="M702"/>
    </row>
    <row r="703" spans="2:13">
      <c r="B703" s="13"/>
      <c r="M703"/>
    </row>
    <row r="704" spans="2:13">
      <c r="B704" s="13"/>
      <c r="M704"/>
    </row>
    <row r="705" spans="2:13">
      <c r="B705" s="13"/>
      <c r="M705"/>
    </row>
    <row r="706" spans="2:13">
      <c r="B706" s="13"/>
      <c r="M706"/>
    </row>
    <row r="707" spans="2:13">
      <c r="B707" s="13"/>
      <c r="M707"/>
    </row>
    <row r="708" spans="2:13">
      <c r="B708" s="13"/>
      <c r="M708"/>
    </row>
    <row r="709" spans="2:13">
      <c r="B709" s="13"/>
      <c r="M709"/>
    </row>
    <row r="710" spans="2:13">
      <c r="B710" s="13"/>
      <c r="M710"/>
    </row>
    <row r="711" spans="2:13">
      <c r="B711" s="13"/>
      <c r="M711"/>
    </row>
    <row r="712" spans="2:13">
      <c r="B712" s="13"/>
      <c r="M712"/>
    </row>
    <row r="713" spans="2:13">
      <c r="B713" s="13"/>
      <c r="M713"/>
    </row>
    <row r="714" spans="2:13">
      <c r="B714" s="13"/>
      <c r="M714"/>
    </row>
    <row r="715" spans="2:13">
      <c r="B715" s="13"/>
      <c r="M715"/>
    </row>
    <row r="716" spans="2:13">
      <c r="B716" s="13"/>
      <c r="M716"/>
    </row>
    <row r="717" spans="2:13">
      <c r="B717" s="13"/>
      <c r="M717"/>
    </row>
    <row r="718" spans="2:13">
      <c r="B718" s="13"/>
      <c r="M718"/>
    </row>
    <row r="719" spans="2:13">
      <c r="B719" s="13"/>
      <c r="M719"/>
    </row>
    <row r="720" spans="2:13">
      <c r="B720" s="13"/>
      <c r="M720"/>
    </row>
    <row r="721" spans="2:13">
      <c r="B721" s="13"/>
      <c r="M721"/>
    </row>
    <row r="722" spans="2:13">
      <c r="B722" s="13"/>
      <c r="M722"/>
    </row>
    <row r="723" spans="2:13">
      <c r="B723" s="13"/>
      <c r="M723"/>
    </row>
    <row r="724" spans="2:13">
      <c r="B724" s="13"/>
      <c r="M724"/>
    </row>
    <row r="725" spans="2:13">
      <c r="B725" s="13"/>
      <c r="M725"/>
    </row>
    <row r="726" spans="2:13">
      <c r="B726" s="13"/>
      <c r="M726"/>
    </row>
    <row r="727" spans="2:13">
      <c r="B727" s="13"/>
      <c r="M727"/>
    </row>
    <row r="728" spans="2:13">
      <c r="B728" s="13"/>
      <c r="M728"/>
    </row>
    <row r="729" spans="2:13">
      <c r="B729" s="13"/>
      <c r="M729"/>
    </row>
    <row r="730" spans="2:13">
      <c r="B730" s="13"/>
      <c r="M730"/>
    </row>
    <row r="731" spans="2:13">
      <c r="B731" s="13"/>
      <c r="M731"/>
    </row>
    <row r="732" spans="2:13">
      <c r="B732" s="13"/>
      <c r="M732"/>
    </row>
    <row r="733" spans="2:13">
      <c r="B733" s="13"/>
      <c r="M733"/>
    </row>
    <row r="734" spans="2:13">
      <c r="B734" s="13"/>
      <c r="M734"/>
    </row>
    <row r="735" spans="2:13">
      <c r="B735" s="13"/>
      <c r="M735"/>
    </row>
    <row r="736" spans="2:13">
      <c r="B736" s="13"/>
      <c r="M736"/>
    </row>
    <row r="737" spans="2:13">
      <c r="B737" s="13"/>
      <c r="M737"/>
    </row>
    <row r="738" spans="2:13">
      <c r="B738" s="13"/>
      <c r="M738"/>
    </row>
    <row r="739" spans="2:13">
      <c r="B739" s="13"/>
      <c r="M739"/>
    </row>
    <row r="740" spans="2:13">
      <c r="B740" s="13"/>
      <c r="M740"/>
    </row>
    <row r="741" spans="2:13">
      <c r="B741" s="13"/>
      <c r="M741"/>
    </row>
    <row r="742" spans="2:13">
      <c r="B742" s="13"/>
      <c r="M742"/>
    </row>
    <row r="743" spans="2:13">
      <c r="B743" s="13"/>
      <c r="M743"/>
    </row>
    <row r="744" spans="2:13">
      <c r="B744" s="13"/>
      <c r="M744"/>
    </row>
    <row r="745" spans="2:13">
      <c r="B745" s="13"/>
      <c r="M745"/>
    </row>
    <row r="746" spans="2:13">
      <c r="B746" s="13"/>
      <c r="M746"/>
    </row>
    <row r="747" spans="2:13">
      <c r="B747" s="13"/>
      <c r="M747"/>
    </row>
    <row r="748" spans="2:13">
      <c r="B748" s="13"/>
      <c r="M748"/>
    </row>
    <row r="749" spans="2:13">
      <c r="B749" s="13"/>
      <c r="M749"/>
    </row>
    <row r="750" spans="2:13">
      <c r="B750" s="13"/>
      <c r="M750"/>
    </row>
    <row r="751" spans="2:13">
      <c r="B751" s="13"/>
      <c r="M751"/>
    </row>
    <row r="752" spans="2:13">
      <c r="B752" s="13"/>
      <c r="M752"/>
    </row>
    <row r="753" spans="2:13">
      <c r="B753" s="13"/>
      <c r="M753"/>
    </row>
    <row r="754" spans="2:13">
      <c r="B754" s="13"/>
      <c r="M754"/>
    </row>
    <row r="755" spans="2:13">
      <c r="B755" s="13"/>
      <c r="M755"/>
    </row>
    <row r="756" spans="2:13">
      <c r="B756" s="13"/>
      <c r="M756"/>
    </row>
    <row r="757" spans="2:13">
      <c r="B757" s="13"/>
      <c r="M757"/>
    </row>
    <row r="758" spans="2:13">
      <c r="B758" s="13"/>
      <c r="M758"/>
    </row>
    <row r="759" spans="2:13">
      <c r="B759" s="13"/>
      <c r="M759"/>
    </row>
    <row r="760" spans="2:13">
      <c r="B760" s="13"/>
      <c r="M760"/>
    </row>
    <row r="761" spans="2:13">
      <c r="B761" s="13"/>
      <c r="M761"/>
    </row>
    <row r="762" spans="2:13">
      <c r="B762" s="13"/>
      <c r="M762"/>
    </row>
    <row r="763" spans="2:13">
      <c r="B763" s="13"/>
      <c r="M763"/>
    </row>
    <row r="764" spans="2:13">
      <c r="B764" s="13"/>
      <c r="M764"/>
    </row>
    <row r="765" spans="2:13">
      <c r="B765" s="13"/>
      <c r="M765"/>
    </row>
    <row r="766" spans="2:13">
      <c r="B766" s="13"/>
      <c r="M766"/>
    </row>
    <row r="767" spans="2:13">
      <c r="B767" s="13"/>
      <c r="M767"/>
    </row>
    <row r="768" spans="2:13">
      <c r="B768" s="13"/>
      <c r="M768"/>
    </row>
    <row r="769" spans="2:13">
      <c r="B769" s="13"/>
      <c r="M769"/>
    </row>
    <row r="770" spans="2:13">
      <c r="B770" s="13"/>
      <c r="M770"/>
    </row>
    <row r="771" spans="2:13">
      <c r="B771" s="13"/>
      <c r="M771"/>
    </row>
    <row r="772" spans="2:13">
      <c r="B772" s="13"/>
      <c r="M772"/>
    </row>
    <row r="773" spans="2:13">
      <c r="B773" s="13"/>
      <c r="M773"/>
    </row>
    <row r="774" spans="2:13">
      <c r="B774" s="13"/>
      <c r="M774"/>
    </row>
    <row r="775" spans="2:13">
      <c r="B775" s="13"/>
      <c r="M775"/>
    </row>
    <row r="776" spans="2:13">
      <c r="B776" s="13"/>
      <c r="M776"/>
    </row>
    <row r="777" spans="2:13">
      <c r="B777" s="13"/>
      <c r="M777"/>
    </row>
    <row r="778" spans="2:13">
      <c r="B778" s="13"/>
      <c r="M778"/>
    </row>
    <row r="779" spans="2:13">
      <c r="B779" s="13"/>
      <c r="M779"/>
    </row>
    <row r="780" spans="2:13">
      <c r="B780" s="13"/>
      <c r="M780"/>
    </row>
    <row r="781" spans="2:13">
      <c r="B781" s="13"/>
      <c r="M781"/>
    </row>
    <row r="782" spans="2:13">
      <c r="B782" s="13"/>
      <c r="M782"/>
    </row>
    <row r="783" spans="2:13">
      <c r="B783" s="13"/>
      <c r="M783"/>
    </row>
    <row r="784" spans="2:13">
      <c r="B784" s="13"/>
      <c r="M784"/>
    </row>
    <row r="785" spans="2:13">
      <c r="B785" s="13"/>
      <c r="M785"/>
    </row>
    <row r="786" spans="2:13">
      <c r="B786" s="13"/>
      <c r="M786"/>
    </row>
    <row r="787" spans="2:13">
      <c r="B787" s="13"/>
      <c r="M787"/>
    </row>
    <row r="788" spans="2:13">
      <c r="B788" s="13"/>
      <c r="M788"/>
    </row>
    <row r="789" spans="2:13">
      <c r="B789" s="13"/>
      <c r="M789"/>
    </row>
    <row r="790" spans="2:13">
      <c r="B790" s="13"/>
      <c r="M790"/>
    </row>
    <row r="791" spans="2:13">
      <c r="B791" s="13"/>
      <c r="M791"/>
    </row>
    <row r="792" spans="2:13">
      <c r="B792" s="13"/>
      <c r="M792"/>
    </row>
    <row r="793" spans="2:13">
      <c r="B793" s="13"/>
      <c r="M793"/>
    </row>
    <row r="794" spans="2:13">
      <c r="B794" s="13"/>
      <c r="M794"/>
    </row>
    <row r="795" spans="2:13">
      <c r="B795" s="13"/>
      <c r="M795"/>
    </row>
    <row r="796" spans="2:13">
      <c r="B796" s="13"/>
      <c r="M796"/>
    </row>
    <row r="797" spans="2:13">
      <c r="B797" s="13"/>
      <c r="M797"/>
    </row>
    <row r="798" spans="2:13">
      <c r="B798" s="13"/>
      <c r="M798"/>
    </row>
    <row r="799" spans="2:13">
      <c r="B799" s="13"/>
      <c r="M799"/>
    </row>
    <row r="800" spans="2:13">
      <c r="B800" s="13"/>
      <c r="M800"/>
    </row>
    <row r="801" spans="2:13">
      <c r="B801" s="13"/>
      <c r="M801"/>
    </row>
    <row r="802" spans="2:13">
      <c r="B802" s="13"/>
      <c r="M802"/>
    </row>
    <row r="803" spans="2:13">
      <c r="B803" s="13"/>
      <c r="M803"/>
    </row>
    <row r="804" spans="2:13">
      <c r="B804" s="13"/>
      <c r="M804"/>
    </row>
    <row r="805" spans="2:13">
      <c r="B805" s="13"/>
      <c r="M805"/>
    </row>
    <row r="806" spans="2:13">
      <c r="B806" s="13"/>
      <c r="M806"/>
    </row>
    <row r="807" spans="2:13">
      <c r="B807" s="13"/>
      <c r="M807"/>
    </row>
    <row r="808" spans="2:13">
      <c r="B808" s="13"/>
      <c r="M808"/>
    </row>
    <row r="809" spans="2:13">
      <c r="B809" s="13"/>
      <c r="M809"/>
    </row>
    <row r="810" spans="2:13">
      <c r="B810" s="13"/>
      <c r="M810"/>
    </row>
    <row r="811" spans="2:13">
      <c r="B811" s="13"/>
      <c r="M811"/>
    </row>
    <row r="812" spans="2:13">
      <c r="B812" s="13"/>
      <c r="M812"/>
    </row>
    <row r="813" spans="2:13">
      <c r="B813" s="13"/>
      <c r="M813"/>
    </row>
    <row r="814" spans="2:13">
      <c r="B814" s="13"/>
      <c r="M814"/>
    </row>
    <row r="815" spans="2:13">
      <c r="B815" s="13"/>
      <c r="M815"/>
    </row>
    <row r="816" spans="2:13">
      <c r="B816" s="13"/>
      <c r="M816"/>
    </row>
    <row r="817" spans="2:13">
      <c r="B817" s="13"/>
      <c r="M817"/>
    </row>
    <row r="818" spans="2:13">
      <c r="B818" s="13"/>
      <c r="M818"/>
    </row>
    <row r="819" spans="2:13">
      <c r="B819" s="13"/>
    </row>
    <row r="820" spans="2:13">
      <c r="B820" s="13"/>
    </row>
    <row r="821" spans="2:13">
      <c r="B821" s="13"/>
    </row>
    <row r="822" spans="2:13">
      <c r="B822" s="13"/>
    </row>
    <row r="823" spans="2:13">
      <c r="B823" s="13"/>
    </row>
    <row r="824" spans="2:13">
      <c r="B824" s="13"/>
    </row>
    <row r="825" spans="2:13">
      <c r="B825" s="13"/>
    </row>
    <row r="826" spans="2:13">
      <c r="B826" s="13"/>
    </row>
    <row r="827" spans="2:13">
      <c r="B827" s="13"/>
    </row>
    <row r="828" spans="2:13">
      <c r="B828" s="13"/>
    </row>
    <row r="829" spans="2:13">
      <c r="B829" s="13"/>
    </row>
    <row r="830" spans="2:13">
      <c r="B830" s="13"/>
    </row>
    <row r="831" spans="2:13">
      <c r="B831" s="13"/>
    </row>
    <row r="832" spans="2:13">
      <c r="B832" s="13"/>
    </row>
    <row r="833" spans="2:13">
      <c r="B833" s="13"/>
    </row>
    <row r="834" spans="2:13">
      <c r="B834" s="13"/>
    </row>
    <row r="835" spans="2:13">
      <c r="B835" s="13"/>
    </row>
    <row r="836" spans="2:13">
      <c r="B836" s="13"/>
    </row>
    <row r="837" spans="2:13">
      <c r="B837" s="13"/>
    </row>
    <row r="838" spans="2:13">
      <c r="B838" s="13"/>
    </row>
    <row r="839" spans="2:13">
      <c r="B839" s="13"/>
    </row>
    <row r="840" spans="2:13">
      <c r="B840" s="13"/>
    </row>
    <row r="841" spans="2:13">
      <c r="B841" s="13"/>
    </row>
    <row r="842" spans="2:13">
      <c r="B842" s="13"/>
    </row>
    <row r="843" spans="2:13">
      <c r="B843" s="13"/>
    </row>
    <row r="844" spans="2:13">
      <c r="B844" s="13"/>
    </row>
    <row r="845" spans="2:13">
      <c r="B845" s="13"/>
    </row>
    <row r="846" spans="2:13" ht="15" customHeight="1">
      <c r="B846" s="20" t="s">
        <v>131</v>
      </c>
      <c r="C846" s="20" t="s">
        <v>132</v>
      </c>
      <c r="D846" s="20"/>
      <c r="E846" s="20" t="s">
        <v>133</v>
      </c>
      <c r="F846" s="20" t="s">
        <v>134</v>
      </c>
      <c r="G846" s="20" t="s">
        <v>135</v>
      </c>
      <c r="H846" s="20" t="s">
        <v>136</v>
      </c>
      <c r="K846" s="12"/>
      <c r="M846" s="118"/>
    </row>
    <row r="847" spans="2:13">
      <c r="B847" s="21">
        <v>92584</v>
      </c>
      <c r="C847" s="21" t="s">
        <v>137</v>
      </c>
      <c r="D847" s="21">
        <f>IF($D$1=1,E847,IF($D$1=2,F847,IF($D$1=3,G847,IF($D$1=4,H847,0))))</f>
        <v>10</v>
      </c>
      <c r="E847" s="22">
        <v>10</v>
      </c>
      <c r="F847" s="18">
        <v>0.38059999999999999</v>
      </c>
      <c r="G847" s="18">
        <v>1.3332999999999999</v>
      </c>
      <c r="H847" s="18">
        <v>86.956500000000005</v>
      </c>
      <c r="K847" s="12"/>
      <c r="M847" s="118"/>
    </row>
    <row r="848" spans="2:13">
      <c r="B848" s="21">
        <v>92585</v>
      </c>
      <c r="C848" s="21" t="s">
        <v>138</v>
      </c>
      <c r="D848" s="21">
        <f t="shared" ref="D848:D866" si="19">IF($D$1=1,E848,IF($D$1=2,F848,IF($D$1=3,G848,IF($D$1=4,H848,0))))</f>
        <v>10</v>
      </c>
      <c r="E848" s="22">
        <v>10</v>
      </c>
      <c r="F848" s="18">
        <v>0.38059999999999999</v>
      </c>
      <c r="G848" s="18">
        <v>1.3332999999999999</v>
      </c>
      <c r="H848" s="18">
        <v>86.956500000000005</v>
      </c>
      <c r="K848" s="12"/>
      <c r="M848" s="118"/>
    </row>
    <row r="849" spans="2:13">
      <c r="B849" s="21">
        <v>92586</v>
      </c>
      <c r="C849" s="21" t="s">
        <v>139</v>
      </c>
      <c r="D849" s="21">
        <f t="shared" si="19"/>
        <v>10</v>
      </c>
      <c r="E849" s="22">
        <v>10</v>
      </c>
      <c r="F849" s="18">
        <v>0.38059999999999999</v>
      </c>
      <c r="G849" s="18">
        <v>1.3332999999999999</v>
      </c>
      <c r="H849" s="18">
        <v>86.956500000000005</v>
      </c>
      <c r="K849" s="12"/>
      <c r="M849" s="118"/>
    </row>
    <row r="850" spans="2:13">
      <c r="B850" s="21">
        <v>92588</v>
      </c>
      <c r="C850" s="21" t="s">
        <v>140</v>
      </c>
      <c r="D850" s="21">
        <f t="shared" si="19"/>
        <v>19.38</v>
      </c>
      <c r="E850" s="22">
        <v>19.38</v>
      </c>
      <c r="F850" s="18">
        <v>0.81950000000000001</v>
      </c>
      <c r="G850" s="18">
        <v>2.5840000000000001</v>
      </c>
      <c r="H850" s="18">
        <v>168.52170000000001</v>
      </c>
      <c r="K850" s="12"/>
      <c r="M850"/>
    </row>
    <row r="851" spans="2:13">
      <c r="B851" s="21">
        <v>92596</v>
      </c>
      <c r="C851" s="21" t="s">
        <v>141</v>
      </c>
      <c r="D851" s="21">
        <f t="shared" si="19"/>
        <v>1.8</v>
      </c>
      <c r="E851" s="22">
        <v>1.8</v>
      </c>
      <c r="F851" s="18">
        <v>7.6100000000000001E-2</v>
      </c>
      <c r="G851" s="18">
        <v>0.24</v>
      </c>
      <c r="H851" s="18">
        <v>15.652200000000001</v>
      </c>
      <c r="K851" s="12"/>
      <c r="M851"/>
    </row>
    <row r="852" spans="2:13">
      <c r="B852" s="21">
        <v>92597</v>
      </c>
      <c r="C852" s="21" t="s">
        <v>142</v>
      </c>
      <c r="D852" s="21">
        <f t="shared" si="19"/>
        <v>2.2999999999999998</v>
      </c>
      <c r="E852" s="22">
        <v>2.2999999999999998</v>
      </c>
      <c r="F852" s="18">
        <v>9.7299999999999998E-2</v>
      </c>
      <c r="G852" s="18">
        <v>0.30669999999999997</v>
      </c>
      <c r="H852" s="18">
        <v>20</v>
      </c>
      <c r="K852" s="12"/>
      <c r="M852"/>
    </row>
    <row r="853" spans="2:13">
      <c r="B853" s="21">
        <v>92598</v>
      </c>
      <c r="C853" s="21" t="s">
        <v>143</v>
      </c>
      <c r="D853" s="21">
        <f t="shared" si="19"/>
        <v>1.8</v>
      </c>
      <c r="E853" s="22">
        <v>1.8</v>
      </c>
      <c r="F853" s="18">
        <v>7.6100000000000001E-2</v>
      </c>
      <c r="G853" s="18">
        <v>0.24</v>
      </c>
      <c r="H853" s="18">
        <v>15.652200000000001</v>
      </c>
      <c r="K853" s="12"/>
      <c r="M853"/>
    </row>
    <row r="854" spans="2:13">
      <c r="B854" s="21">
        <v>92599</v>
      </c>
      <c r="C854" s="21" t="s">
        <v>144</v>
      </c>
      <c r="D854" s="21">
        <f t="shared" si="19"/>
        <v>2.2999999999999998</v>
      </c>
      <c r="E854" s="22">
        <v>2.2999999999999998</v>
      </c>
      <c r="F854" s="18">
        <v>9.7299999999999998E-2</v>
      </c>
      <c r="G854" s="18">
        <v>0.30669999999999997</v>
      </c>
      <c r="H854" s="18">
        <v>20</v>
      </c>
      <c r="K854" s="12"/>
      <c r="M854"/>
    </row>
    <row r="855" spans="2:13">
      <c r="B855" s="21" t="s">
        <v>117</v>
      </c>
      <c r="C855" s="21" t="s">
        <v>145</v>
      </c>
      <c r="D855" s="21">
        <f t="shared" si="19"/>
        <v>4.6749999999999998</v>
      </c>
      <c r="E855" s="22">
        <v>4.6749999999999998</v>
      </c>
      <c r="F855" s="18">
        <v>0.19769999999999999</v>
      </c>
      <c r="G855" s="18">
        <v>0.62329999999999997</v>
      </c>
      <c r="H855" s="18">
        <v>40.652200000000001</v>
      </c>
      <c r="K855" s="12"/>
      <c r="M855"/>
    </row>
    <row r="856" spans="2:13">
      <c r="B856" s="21" t="s">
        <v>146</v>
      </c>
      <c r="C856" s="21" t="s">
        <v>147</v>
      </c>
      <c r="D856" s="21">
        <f t="shared" si="19"/>
        <v>2.3374999999999999</v>
      </c>
      <c r="E856" s="22">
        <v>2.3374999999999999</v>
      </c>
      <c r="F856" s="18">
        <v>9.8799999999999999E-2</v>
      </c>
      <c r="G856" s="18">
        <v>0.31169999999999998</v>
      </c>
      <c r="H856" s="18">
        <v>20.3261</v>
      </c>
      <c r="K856" s="12"/>
      <c r="M856"/>
    </row>
    <row r="857" spans="2:13">
      <c r="B857" s="21" t="s">
        <v>148</v>
      </c>
      <c r="C857" s="21" t="s">
        <v>149</v>
      </c>
      <c r="D857" s="21">
        <f t="shared" si="19"/>
        <v>1.925</v>
      </c>
      <c r="E857" s="22">
        <v>1.925</v>
      </c>
      <c r="F857" s="18">
        <v>8.14E-2</v>
      </c>
      <c r="G857" s="18">
        <v>0.25669999999999998</v>
      </c>
      <c r="H857" s="18">
        <v>16.739100000000001</v>
      </c>
      <c r="K857" s="12"/>
      <c r="M857"/>
    </row>
    <row r="858" spans="2:13" ht="15" customHeight="1">
      <c r="B858" s="21" t="s">
        <v>119</v>
      </c>
      <c r="C858" s="21" t="s">
        <v>150</v>
      </c>
      <c r="D858" s="21">
        <f t="shared" si="19"/>
        <v>2.3374999999999999</v>
      </c>
      <c r="E858" s="22">
        <v>2.3374999999999999</v>
      </c>
      <c r="F858" s="18">
        <v>9.8799999999999999E-2</v>
      </c>
      <c r="G858" s="18">
        <v>0.31169999999999998</v>
      </c>
      <c r="H858" s="18">
        <v>20.3261</v>
      </c>
      <c r="K858" s="12"/>
      <c r="M858"/>
    </row>
    <row r="859" spans="2:13">
      <c r="B859" s="21" t="s">
        <v>113</v>
      </c>
      <c r="C859" s="21" t="s">
        <v>151</v>
      </c>
      <c r="D859" s="21">
        <f t="shared" si="19"/>
        <v>1.925</v>
      </c>
      <c r="E859" s="22">
        <v>1.925</v>
      </c>
      <c r="F859" s="18">
        <v>8.14E-2</v>
      </c>
      <c r="G859" s="18">
        <v>0.25669999999999998</v>
      </c>
      <c r="H859" s="18">
        <v>16.739100000000001</v>
      </c>
      <c r="K859" s="12"/>
      <c r="M859"/>
    </row>
    <row r="860" spans="2:13">
      <c r="B860" s="21" t="s">
        <v>803</v>
      </c>
      <c r="C860" s="21" t="s">
        <v>152</v>
      </c>
      <c r="D860" s="21">
        <f t="shared" si="19"/>
        <v>0</v>
      </c>
      <c r="E860" s="22">
        <v>0</v>
      </c>
      <c r="F860" s="18">
        <v>0</v>
      </c>
      <c r="G860" s="18">
        <v>0</v>
      </c>
      <c r="H860" s="18">
        <v>0</v>
      </c>
      <c r="K860" s="12"/>
      <c r="M860"/>
    </row>
    <row r="861" spans="2:13">
      <c r="B861" s="21" t="s">
        <v>118</v>
      </c>
      <c r="C861" s="21" t="s">
        <v>153</v>
      </c>
      <c r="D861" s="21">
        <f t="shared" si="19"/>
        <v>39.049999999999997</v>
      </c>
      <c r="E861" s="22">
        <v>39.049999999999997</v>
      </c>
      <c r="F861" s="18">
        <v>1.6512</v>
      </c>
      <c r="G861" s="18">
        <v>5.2066999999999997</v>
      </c>
      <c r="H861" s="18">
        <v>339.5652</v>
      </c>
      <c r="K861" s="12"/>
      <c r="M861"/>
    </row>
    <row r="862" spans="2:13">
      <c r="B862" s="21" t="s">
        <v>116</v>
      </c>
      <c r="C862" s="21" t="s">
        <v>154</v>
      </c>
      <c r="D862" s="21">
        <f t="shared" si="19"/>
        <v>34.1</v>
      </c>
      <c r="E862" s="22">
        <v>34.1</v>
      </c>
      <c r="F862" s="18">
        <v>1.4419</v>
      </c>
      <c r="G862" s="18">
        <v>4.5467000000000004</v>
      </c>
      <c r="H862" s="18">
        <v>296.52170000000001</v>
      </c>
      <c r="K862" s="12"/>
      <c r="M862"/>
    </row>
    <row r="863" spans="2:13">
      <c r="B863" s="21" t="s">
        <v>115</v>
      </c>
      <c r="C863" s="21" t="s">
        <v>155</v>
      </c>
      <c r="D863" s="21">
        <f t="shared" si="19"/>
        <v>30.8</v>
      </c>
      <c r="E863" s="22">
        <v>30.8</v>
      </c>
      <c r="F863" s="18">
        <v>1.3023</v>
      </c>
      <c r="G863" s="18">
        <v>4.1067</v>
      </c>
      <c r="H863" s="18">
        <v>267.8261</v>
      </c>
      <c r="K863" s="12"/>
      <c r="M863"/>
    </row>
    <row r="864" spans="2:13">
      <c r="B864" s="21" t="s">
        <v>114</v>
      </c>
      <c r="C864" s="21" t="s">
        <v>156</v>
      </c>
      <c r="D864" s="21">
        <f t="shared" si="19"/>
        <v>30.8</v>
      </c>
      <c r="E864" s="22">
        <v>30.8</v>
      </c>
      <c r="F864" s="18">
        <v>1.3023</v>
      </c>
      <c r="G864" s="18">
        <v>4.1067</v>
      </c>
      <c r="H864" s="18">
        <v>267.8261</v>
      </c>
      <c r="K864" s="12"/>
      <c r="M864"/>
    </row>
    <row r="865" spans="2:13">
      <c r="B865" s="21" t="s">
        <v>120</v>
      </c>
      <c r="C865" s="21"/>
      <c r="D865" s="21"/>
      <c r="E865" s="22"/>
      <c r="F865" s="18"/>
      <c r="G865" s="18"/>
      <c r="H865" s="18"/>
      <c r="K865" s="12"/>
      <c r="M865"/>
    </row>
    <row r="866" spans="2:13">
      <c r="B866" s="21">
        <v>92950</v>
      </c>
      <c r="C866" s="21" t="s">
        <v>221</v>
      </c>
      <c r="D866" s="21">
        <f t="shared" si="19"/>
        <v>7</v>
      </c>
      <c r="E866" s="22">
        <v>7</v>
      </c>
      <c r="F866" s="18">
        <v>0.26640000000000003</v>
      </c>
      <c r="G866" s="18">
        <v>0.875</v>
      </c>
      <c r="H866" s="18">
        <v>64.673900000000003</v>
      </c>
      <c r="K866" s="12"/>
      <c r="M866"/>
    </row>
    <row r="867" spans="2:13">
      <c r="B867" s="21">
        <v>0</v>
      </c>
      <c r="C867" s="21"/>
      <c r="D867" s="21"/>
      <c r="E867" s="22"/>
      <c r="F867" s="18"/>
      <c r="G867" s="18"/>
      <c r="H867" s="18"/>
      <c r="K867" s="12"/>
      <c r="M867"/>
    </row>
    <row r="868" spans="2:13">
      <c r="B868" s="21">
        <v>93000</v>
      </c>
      <c r="C868" s="21" t="s">
        <v>157</v>
      </c>
      <c r="D868" s="21">
        <f t="shared" ref="D868:D895" si="20">IF($D$1=1,E868,IF($D$1=2,F868,IF($D$1=3,G868,IF($D$1=4,H868,0))))</f>
        <v>30</v>
      </c>
      <c r="E868" s="22">
        <v>30</v>
      </c>
      <c r="F868" s="18">
        <v>1.1416999999999999</v>
      </c>
      <c r="G868" s="18">
        <v>3.75</v>
      </c>
      <c r="H868" s="18">
        <v>277.1739</v>
      </c>
      <c r="K868" s="12"/>
      <c r="M868"/>
    </row>
    <row r="869" spans="2:13">
      <c r="B869" s="21">
        <v>92951</v>
      </c>
      <c r="C869" s="21" t="s">
        <v>158</v>
      </c>
      <c r="D869" s="21">
        <f t="shared" si="20"/>
        <v>7.5</v>
      </c>
      <c r="E869" s="22">
        <v>7.5</v>
      </c>
      <c r="F869" s="18">
        <v>0.28539999999999999</v>
      </c>
      <c r="G869" s="18">
        <v>0.9375</v>
      </c>
      <c r="H869" s="18">
        <v>69.293499999999995</v>
      </c>
      <c r="K869" s="12"/>
      <c r="M869"/>
    </row>
    <row r="870" spans="2:13">
      <c r="B870" s="21">
        <v>92952</v>
      </c>
      <c r="C870" s="21" t="s">
        <v>159</v>
      </c>
      <c r="D870" s="21">
        <f t="shared" si="20"/>
        <v>7.5</v>
      </c>
      <c r="E870" s="22">
        <v>7.5</v>
      </c>
      <c r="F870" s="18">
        <v>0.28539999999999999</v>
      </c>
      <c r="G870" s="18">
        <v>0.9375</v>
      </c>
      <c r="H870" s="18">
        <v>69.293499999999995</v>
      </c>
      <c r="K870" s="12"/>
      <c r="M870"/>
    </row>
    <row r="871" spans="2:13" ht="15" customHeight="1">
      <c r="B871" s="21">
        <v>93903</v>
      </c>
      <c r="C871" s="21" t="s">
        <v>160</v>
      </c>
      <c r="D871" s="21">
        <f t="shared" si="20"/>
        <v>29.99963</v>
      </c>
      <c r="E871" s="22">
        <v>29.99963</v>
      </c>
      <c r="F871" s="18">
        <v>1.1415999999999999</v>
      </c>
      <c r="G871" s="18">
        <v>3.75</v>
      </c>
      <c r="H871" s="18">
        <v>277.1705</v>
      </c>
      <c r="K871" s="12"/>
      <c r="M871"/>
    </row>
    <row r="872" spans="2:13">
      <c r="B872" s="21">
        <v>92957</v>
      </c>
      <c r="C872" s="21" t="s">
        <v>161</v>
      </c>
      <c r="D872" s="21">
        <f t="shared" si="20"/>
        <v>25</v>
      </c>
      <c r="E872" s="22">
        <v>25</v>
      </c>
      <c r="F872" s="18">
        <v>0.95140000000000002</v>
      </c>
      <c r="G872" s="18">
        <v>3.125</v>
      </c>
      <c r="H872" s="18">
        <v>230.97829999999999</v>
      </c>
      <c r="K872" s="12"/>
      <c r="M872"/>
    </row>
    <row r="873" spans="2:13">
      <c r="B873" s="21">
        <v>92960</v>
      </c>
      <c r="C873" s="21" t="s">
        <v>162</v>
      </c>
      <c r="D873" s="21">
        <f t="shared" si="20"/>
        <v>2</v>
      </c>
      <c r="E873" s="22">
        <v>2</v>
      </c>
      <c r="F873" s="18">
        <v>7.6100000000000001E-2</v>
      </c>
      <c r="G873" s="18">
        <v>0.25</v>
      </c>
      <c r="H873" s="18">
        <v>18.478300000000001</v>
      </c>
      <c r="K873" s="12"/>
      <c r="M873"/>
    </row>
    <row r="874" spans="2:13">
      <c r="B874" s="21">
        <v>92962</v>
      </c>
      <c r="C874" s="21" t="s">
        <v>163</v>
      </c>
      <c r="D874" s="21">
        <f t="shared" si="20"/>
        <v>3</v>
      </c>
      <c r="E874" s="22">
        <v>3</v>
      </c>
      <c r="F874" s="18">
        <v>0.1142</v>
      </c>
      <c r="G874" s="18">
        <v>0.375</v>
      </c>
      <c r="H874" s="18">
        <v>27.717400000000001</v>
      </c>
      <c r="K874" s="12"/>
      <c r="M874"/>
    </row>
    <row r="875" spans="2:13">
      <c r="B875" s="21">
        <v>92961</v>
      </c>
      <c r="C875" s="21" t="s">
        <v>164</v>
      </c>
      <c r="D875" s="21">
        <f t="shared" si="20"/>
        <v>2.5</v>
      </c>
      <c r="E875" s="22">
        <v>2.5</v>
      </c>
      <c r="F875" s="18">
        <v>9.5100000000000004E-2</v>
      </c>
      <c r="G875" s="18">
        <v>0.3125</v>
      </c>
      <c r="H875" s="18">
        <v>23.097799999999999</v>
      </c>
      <c r="K875" s="12"/>
      <c r="M875"/>
    </row>
    <row r="876" spans="2:13">
      <c r="B876" s="21">
        <v>92963</v>
      </c>
      <c r="C876" s="21" t="s">
        <v>165</v>
      </c>
      <c r="D876" s="21">
        <f t="shared" si="20"/>
        <v>3</v>
      </c>
      <c r="E876" s="22">
        <v>3</v>
      </c>
      <c r="F876" s="18">
        <v>0.1142</v>
      </c>
      <c r="G876" s="18">
        <v>0.375</v>
      </c>
      <c r="H876" s="18">
        <v>27.717400000000001</v>
      </c>
      <c r="K876" s="12"/>
      <c r="M876"/>
    </row>
    <row r="877" spans="2:13">
      <c r="B877" s="21">
        <v>92986</v>
      </c>
      <c r="C877" s="21" t="s">
        <v>166</v>
      </c>
      <c r="D877" s="21">
        <f t="shared" si="20"/>
        <v>13</v>
      </c>
      <c r="E877" s="22">
        <v>13</v>
      </c>
      <c r="F877" s="18">
        <v>0.49469999999999997</v>
      </c>
      <c r="G877" s="18">
        <v>1.625</v>
      </c>
      <c r="H877" s="18">
        <v>120.1087</v>
      </c>
      <c r="K877" s="12"/>
      <c r="M877"/>
    </row>
    <row r="878" spans="2:13">
      <c r="B878" s="21">
        <v>92987</v>
      </c>
      <c r="C878" s="21" t="s">
        <v>167</v>
      </c>
      <c r="D878" s="21">
        <f t="shared" si="20"/>
        <v>13</v>
      </c>
      <c r="E878" s="22">
        <v>13</v>
      </c>
      <c r="F878" s="18">
        <v>0.49469999999999997</v>
      </c>
      <c r="G878" s="18">
        <v>1.625</v>
      </c>
      <c r="H878" s="18">
        <v>120.1087</v>
      </c>
      <c r="K878" s="12"/>
      <c r="M878"/>
    </row>
    <row r="879" spans="2:13">
      <c r="B879" s="21">
        <v>92988</v>
      </c>
      <c r="C879" s="21" t="s">
        <v>168</v>
      </c>
      <c r="D879" s="21">
        <f t="shared" si="20"/>
        <v>13</v>
      </c>
      <c r="E879" s="22">
        <v>13</v>
      </c>
      <c r="F879" s="18">
        <v>0.49469999999999997</v>
      </c>
      <c r="G879" s="18">
        <v>1.625</v>
      </c>
      <c r="H879" s="18">
        <v>120.1087</v>
      </c>
      <c r="K879" s="12"/>
      <c r="M879"/>
    </row>
    <row r="880" spans="2:13">
      <c r="B880" s="21">
        <v>92972</v>
      </c>
      <c r="C880" s="21" t="s">
        <v>169</v>
      </c>
      <c r="D880" s="21">
        <f t="shared" si="20"/>
        <v>25</v>
      </c>
      <c r="E880" s="22">
        <v>25</v>
      </c>
      <c r="F880" s="18">
        <v>0.95140000000000002</v>
      </c>
      <c r="G880" s="18">
        <v>3.125</v>
      </c>
      <c r="H880" s="18">
        <v>230.97829999999999</v>
      </c>
      <c r="K880" s="12"/>
      <c r="M880"/>
    </row>
    <row r="881" spans="2:13">
      <c r="B881" s="21">
        <v>92971</v>
      </c>
      <c r="C881" s="21" t="s">
        <v>170</v>
      </c>
      <c r="D881" s="21">
        <f t="shared" si="20"/>
        <v>25</v>
      </c>
      <c r="E881" s="22">
        <v>25</v>
      </c>
      <c r="F881" s="18">
        <v>0.95140000000000002</v>
      </c>
      <c r="G881" s="18">
        <v>3.125</v>
      </c>
      <c r="H881" s="18">
        <v>230.97829999999999</v>
      </c>
      <c r="K881" s="12"/>
      <c r="M881"/>
    </row>
    <row r="882" spans="2:13">
      <c r="B882" s="21">
        <v>92973</v>
      </c>
      <c r="C882" s="21" t="s">
        <v>171</v>
      </c>
      <c r="D882" s="21">
        <f t="shared" si="20"/>
        <v>25</v>
      </c>
      <c r="E882" s="22">
        <v>25</v>
      </c>
      <c r="F882" s="18">
        <v>0.95140000000000002</v>
      </c>
      <c r="G882" s="18">
        <v>3.125</v>
      </c>
      <c r="H882" s="18">
        <v>230.97829999999999</v>
      </c>
      <c r="K882" s="12"/>
      <c r="M882"/>
    </row>
    <row r="883" spans="2:13">
      <c r="B883" s="21">
        <v>92991</v>
      </c>
      <c r="C883" s="21" t="s">
        <v>172</v>
      </c>
      <c r="D883" s="21">
        <f t="shared" si="20"/>
        <v>35</v>
      </c>
      <c r="E883" s="22">
        <v>35</v>
      </c>
      <c r="F883" s="18">
        <v>1.3319000000000001</v>
      </c>
      <c r="G883" s="18">
        <v>4.375</v>
      </c>
      <c r="H883" s="18">
        <v>323.36959999999999</v>
      </c>
      <c r="K883" s="12"/>
      <c r="M883"/>
    </row>
    <row r="884" spans="2:13">
      <c r="B884" s="21">
        <v>92975</v>
      </c>
      <c r="C884" s="21" t="s">
        <v>173</v>
      </c>
      <c r="D884" s="21">
        <f t="shared" si="20"/>
        <v>3</v>
      </c>
      <c r="E884" s="22">
        <v>3</v>
      </c>
      <c r="F884" s="18">
        <v>0.1142</v>
      </c>
      <c r="G884" s="18">
        <v>0.375</v>
      </c>
      <c r="H884" s="18">
        <v>27.717400000000001</v>
      </c>
      <c r="K884" s="12"/>
      <c r="M884"/>
    </row>
    <row r="885" spans="2:13">
      <c r="B885" s="21">
        <v>92968</v>
      </c>
      <c r="C885" s="21" t="s">
        <v>174</v>
      </c>
      <c r="D885" s="21">
        <f t="shared" si="20"/>
        <v>4</v>
      </c>
      <c r="E885" s="22">
        <v>4</v>
      </c>
      <c r="F885" s="18">
        <v>0.1522</v>
      </c>
      <c r="G885" s="18">
        <v>0.5</v>
      </c>
      <c r="H885" s="18">
        <v>36.956499999999998</v>
      </c>
      <c r="K885" s="12"/>
      <c r="M885"/>
    </row>
    <row r="886" spans="2:13">
      <c r="B886" s="21">
        <v>92974</v>
      </c>
      <c r="C886" s="21" t="s">
        <v>175</v>
      </c>
      <c r="D886" s="21">
        <f t="shared" si="20"/>
        <v>3.5</v>
      </c>
      <c r="E886" s="22">
        <v>3.5</v>
      </c>
      <c r="F886" s="18">
        <v>0.13320000000000001</v>
      </c>
      <c r="G886" s="18">
        <v>0.4375</v>
      </c>
      <c r="H886" s="18">
        <v>32.337000000000003</v>
      </c>
      <c r="K886" s="12"/>
      <c r="M886"/>
    </row>
    <row r="887" spans="2:13">
      <c r="B887" s="21">
        <v>92969</v>
      </c>
      <c r="C887" s="21" t="s">
        <v>176</v>
      </c>
      <c r="D887" s="21">
        <f t="shared" si="20"/>
        <v>4</v>
      </c>
      <c r="E887" s="22">
        <v>4</v>
      </c>
      <c r="F887" s="18">
        <v>0.1522</v>
      </c>
      <c r="G887" s="18">
        <v>0.5</v>
      </c>
      <c r="H887" s="18">
        <v>36.956499999999998</v>
      </c>
      <c r="K887" s="12"/>
      <c r="M887"/>
    </row>
    <row r="888" spans="2:13">
      <c r="B888" s="21">
        <v>93001</v>
      </c>
      <c r="C888" s="21" t="s">
        <v>177</v>
      </c>
      <c r="D888" s="21">
        <f t="shared" si="20"/>
        <v>17</v>
      </c>
      <c r="E888" s="22">
        <v>17</v>
      </c>
      <c r="F888" s="18">
        <v>0.79069999999999996</v>
      </c>
      <c r="G888" s="18">
        <v>2.2667000000000002</v>
      </c>
      <c r="H888" s="18">
        <v>157.0652</v>
      </c>
      <c r="K888" s="12"/>
      <c r="M888"/>
    </row>
    <row r="889" spans="2:13">
      <c r="B889" s="21">
        <v>93002</v>
      </c>
      <c r="C889" s="21" t="s">
        <v>178</v>
      </c>
      <c r="D889" s="21">
        <f t="shared" si="20"/>
        <v>17</v>
      </c>
      <c r="E889" s="22">
        <v>17</v>
      </c>
      <c r="F889" s="18">
        <v>0.79069999999999996</v>
      </c>
      <c r="G889" s="18">
        <v>2.2667000000000002</v>
      </c>
      <c r="H889" s="18">
        <v>157.0652</v>
      </c>
      <c r="K889" s="12"/>
      <c r="M889"/>
    </row>
    <row r="890" spans="2:13">
      <c r="B890" s="21">
        <v>93003</v>
      </c>
      <c r="C890" s="21" t="s">
        <v>179</v>
      </c>
      <c r="D890" s="21">
        <f t="shared" si="20"/>
        <v>17</v>
      </c>
      <c r="E890" s="22">
        <v>17</v>
      </c>
      <c r="F890" s="18">
        <v>0.79069999999999996</v>
      </c>
      <c r="G890" s="18">
        <v>2.2667000000000002</v>
      </c>
      <c r="H890" s="18">
        <v>157.0652</v>
      </c>
      <c r="K890" s="12"/>
      <c r="M890"/>
    </row>
    <row r="891" spans="2:13">
      <c r="B891" s="21">
        <v>93006</v>
      </c>
      <c r="C891" s="21" t="s">
        <v>180</v>
      </c>
      <c r="D891" s="21">
        <f t="shared" si="20"/>
        <v>40</v>
      </c>
      <c r="E891" s="22">
        <v>40</v>
      </c>
      <c r="F891" s="18">
        <v>1.8605</v>
      </c>
      <c r="G891" s="18">
        <v>5.3333000000000004</v>
      </c>
      <c r="H891" s="18">
        <v>369.5652</v>
      </c>
      <c r="K891" s="12"/>
      <c r="M891"/>
    </row>
    <row r="892" spans="2:13">
      <c r="B892" s="21">
        <v>93010</v>
      </c>
      <c r="C892" s="21" t="s">
        <v>181</v>
      </c>
      <c r="D892" s="21">
        <f t="shared" si="20"/>
        <v>9</v>
      </c>
      <c r="E892" s="22">
        <v>9</v>
      </c>
      <c r="F892" s="18">
        <v>0.41860000000000003</v>
      </c>
      <c r="G892" s="18">
        <v>1.2</v>
      </c>
      <c r="H892" s="18">
        <v>83.152199999999993</v>
      </c>
      <c r="K892" s="12"/>
      <c r="M892"/>
    </row>
    <row r="893" spans="2:13">
      <c r="B893" s="21">
        <v>93011</v>
      </c>
      <c r="C893" s="21" t="s">
        <v>182</v>
      </c>
      <c r="D893" s="21">
        <f t="shared" si="20"/>
        <v>10</v>
      </c>
      <c r="E893" s="22">
        <v>10</v>
      </c>
      <c r="F893" s="18">
        <v>0.46510000000000001</v>
      </c>
      <c r="G893" s="18">
        <v>1.3332999999999999</v>
      </c>
      <c r="H893" s="18">
        <v>92.391300000000001</v>
      </c>
      <c r="K893" s="12"/>
      <c r="M893"/>
    </row>
    <row r="894" spans="2:13">
      <c r="B894" s="21">
        <v>93012</v>
      </c>
      <c r="C894" s="21" t="s">
        <v>183</v>
      </c>
      <c r="D894" s="21">
        <f t="shared" si="20"/>
        <v>11</v>
      </c>
      <c r="E894" s="22">
        <v>11</v>
      </c>
      <c r="F894" s="18">
        <v>0.51160000000000005</v>
      </c>
      <c r="G894" s="18">
        <v>1.4666999999999999</v>
      </c>
      <c r="H894" s="18">
        <v>101.63039999999999</v>
      </c>
      <c r="K894" s="12"/>
      <c r="M894"/>
    </row>
    <row r="895" spans="2:13">
      <c r="B895" s="21">
        <v>93013</v>
      </c>
      <c r="C895" s="21" t="s">
        <v>184</v>
      </c>
      <c r="D895" s="21">
        <f t="shared" si="20"/>
        <v>12</v>
      </c>
      <c r="E895" s="22">
        <v>12</v>
      </c>
      <c r="F895" s="18">
        <v>0.55810000000000004</v>
      </c>
      <c r="G895" s="18">
        <v>1.6</v>
      </c>
      <c r="H895" s="18">
        <v>110.86960000000001</v>
      </c>
      <c r="K895" s="12"/>
      <c r="M895"/>
    </row>
    <row r="896" spans="2:13">
      <c r="B896" s="23"/>
      <c r="C896" s="18"/>
      <c r="D896" s="18"/>
      <c r="E896" s="18"/>
      <c r="F896" s="18"/>
      <c r="G896" s="18"/>
      <c r="H896" s="18"/>
      <c r="K896" s="12"/>
      <c r="M896"/>
    </row>
    <row r="897" spans="2:13">
      <c r="B897" s="23">
        <v>12109</v>
      </c>
      <c r="C897" s="18" t="s">
        <v>675</v>
      </c>
      <c r="D897" s="21">
        <f t="shared" ref="D897:D917" si="21">IF($D$1=1,E897,IF($D$1=2,F897,IF($D$1=3,G897,IF($D$1=4,H897,0))))</f>
        <v>63.00958</v>
      </c>
      <c r="E897" s="18">
        <v>63.00958</v>
      </c>
      <c r="F897" s="18">
        <v>2.2646000000000002</v>
      </c>
      <c r="G897" s="18">
        <v>8.8739000000000008</v>
      </c>
      <c r="H897" s="18">
        <v>616.3981</v>
      </c>
      <c r="K897" s="12"/>
      <c r="M897"/>
    </row>
    <row r="898" spans="2:13">
      <c r="B898" s="21">
        <v>12130</v>
      </c>
      <c r="C898" s="21" t="s">
        <v>185</v>
      </c>
      <c r="D898" s="21">
        <f t="shared" si="21"/>
        <v>72.46181</v>
      </c>
      <c r="E898" s="22">
        <v>72.46181</v>
      </c>
      <c r="F898" s="18">
        <v>2.6042999999999998</v>
      </c>
      <c r="G898" s="18">
        <v>10.205</v>
      </c>
      <c r="H898" s="18">
        <v>708.8655</v>
      </c>
      <c r="K898" s="12"/>
      <c r="M898"/>
    </row>
    <row r="899" spans="2:13">
      <c r="B899" s="21">
        <v>12121</v>
      </c>
      <c r="C899" s="21" t="s">
        <v>186</v>
      </c>
      <c r="D899" s="21">
        <f t="shared" si="21"/>
        <v>72.46181</v>
      </c>
      <c r="E899" s="22">
        <v>72.46181</v>
      </c>
      <c r="F899" s="18">
        <v>2.6042999999999998</v>
      </c>
      <c r="G899" s="18">
        <v>10.205</v>
      </c>
      <c r="H899" s="18">
        <v>708.8655</v>
      </c>
      <c r="K899" s="12"/>
      <c r="M899"/>
    </row>
    <row r="900" spans="2:13">
      <c r="B900" s="21">
        <v>12124</v>
      </c>
      <c r="C900" s="21" t="s">
        <v>187</v>
      </c>
      <c r="D900" s="21">
        <f t="shared" si="21"/>
        <v>72.46181</v>
      </c>
      <c r="E900" s="22">
        <v>72.46181</v>
      </c>
      <c r="F900" s="18">
        <v>2.6042999999999998</v>
      </c>
      <c r="G900" s="18">
        <v>10.205</v>
      </c>
      <c r="H900" s="18">
        <v>708.8655</v>
      </c>
      <c r="K900" s="12"/>
      <c r="M900"/>
    </row>
    <row r="901" spans="2:13">
      <c r="B901" s="21">
        <v>12104</v>
      </c>
      <c r="C901" s="21" t="s">
        <v>188</v>
      </c>
      <c r="D901" s="21">
        <f t="shared" si="21"/>
        <v>68.667379999999994</v>
      </c>
      <c r="E901" s="22">
        <v>68.667379999999994</v>
      </c>
      <c r="F901" s="18">
        <v>2.468</v>
      </c>
      <c r="G901" s="18">
        <v>9.6707000000000001</v>
      </c>
      <c r="H901" s="18">
        <v>671.74609999999996</v>
      </c>
      <c r="K901" s="12"/>
      <c r="M901"/>
    </row>
    <row r="902" spans="2:13">
      <c r="B902" s="21">
        <v>13030</v>
      </c>
      <c r="C902" s="21" t="s">
        <v>189</v>
      </c>
      <c r="D902" s="21">
        <f t="shared" si="21"/>
        <v>34.292349999999999</v>
      </c>
      <c r="E902" s="22">
        <v>34.292349999999999</v>
      </c>
      <c r="F902" s="18">
        <v>1.2324999999999999</v>
      </c>
      <c r="G902" s="18">
        <v>4.8295000000000003</v>
      </c>
      <c r="H902" s="18">
        <v>335.46859999999998</v>
      </c>
      <c r="K902" s="12"/>
      <c r="M902"/>
    </row>
    <row r="903" spans="2:13">
      <c r="B903" s="21">
        <v>12033</v>
      </c>
      <c r="C903" s="21" t="s">
        <v>190</v>
      </c>
      <c r="D903" s="21">
        <f t="shared" si="21"/>
        <v>37.96275</v>
      </c>
      <c r="E903" s="22">
        <v>37.96275</v>
      </c>
      <c r="F903" s="18">
        <v>1.3644000000000001</v>
      </c>
      <c r="G903" s="18">
        <v>5.3464</v>
      </c>
      <c r="H903" s="18">
        <v>371.37470000000002</v>
      </c>
      <c r="K903" s="12"/>
      <c r="M903"/>
    </row>
    <row r="904" spans="2:13">
      <c r="B904" s="21">
        <v>12034</v>
      </c>
      <c r="C904" s="21" t="s">
        <v>191</v>
      </c>
      <c r="D904" s="21">
        <f t="shared" si="21"/>
        <v>39.93347</v>
      </c>
      <c r="E904" s="22">
        <v>39.93347</v>
      </c>
      <c r="F904" s="18">
        <v>1.4352</v>
      </c>
      <c r="G904" s="18">
        <v>5.6239999999999997</v>
      </c>
      <c r="H904" s="18">
        <v>390.65350000000001</v>
      </c>
      <c r="K904" s="12"/>
      <c r="M904"/>
    </row>
    <row r="905" spans="2:13">
      <c r="B905" s="21">
        <v>118033</v>
      </c>
      <c r="C905" s="21" t="s">
        <v>805</v>
      </c>
      <c r="D905" s="21"/>
      <c r="E905" s="22"/>
      <c r="F905" s="18"/>
      <c r="G905" s="18"/>
      <c r="H905" s="18"/>
      <c r="K905" s="12"/>
      <c r="M905"/>
    </row>
    <row r="906" spans="2:13">
      <c r="B906" s="21">
        <v>12105</v>
      </c>
      <c r="C906" s="21" t="s">
        <v>192</v>
      </c>
      <c r="D906" s="21">
        <f t="shared" si="21"/>
        <v>68.851129999999998</v>
      </c>
      <c r="E906" s="22">
        <v>68.851129999999998</v>
      </c>
      <c r="F906" s="18">
        <v>2.4746000000000001</v>
      </c>
      <c r="G906" s="18">
        <v>9.6965000000000003</v>
      </c>
      <c r="H906" s="18">
        <v>673.54369999999994</v>
      </c>
      <c r="K906" s="12"/>
      <c r="M906"/>
    </row>
    <row r="907" spans="2:13">
      <c r="B907" s="21">
        <v>12106</v>
      </c>
      <c r="C907" s="21" t="s">
        <v>193</v>
      </c>
      <c r="D907" s="21">
        <f t="shared" si="21"/>
        <v>62.658749999999998</v>
      </c>
      <c r="E907" s="22">
        <v>62.658749999999998</v>
      </c>
      <c r="F907" s="18">
        <v>2.2519999999999998</v>
      </c>
      <c r="G907" s="18">
        <v>8.8244000000000007</v>
      </c>
      <c r="H907" s="18">
        <v>612.96600000000001</v>
      </c>
      <c r="K907" s="12"/>
      <c r="M907"/>
    </row>
    <row r="908" spans="2:13">
      <c r="B908" s="21">
        <v>12107</v>
      </c>
      <c r="C908" s="21" t="s">
        <v>194</v>
      </c>
      <c r="D908" s="21">
        <f t="shared" si="21"/>
        <v>66.324560000000005</v>
      </c>
      <c r="E908" s="22">
        <v>66.324560000000005</v>
      </c>
      <c r="F908" s="18">
        <v>2.3837999999999999</v>
      </c>
      <c r="G908" s="18">
        <v>9.3407</v>
      </c>
      <c r="H908" s="18">
        <v>648.82719999999995</v>
      </c>
      <c r="K908" s="12"/>
      <c r="M908"/>
    </row>
    <row r="909" spans="2:13">
      <c r="B909" s="21">
        <v>12108</v>
      </c>
      <c r="C909" s="21" t="s">
        <v>195</v>
      </c>
      <c r="D909" s="21">
        <f t="shared" si="21"/>
        <v>66.517499999999998</v>
      </c>
      <c r="E909" s="22">
        <v>66.517499999999998</v>
      </c>
      <c r="F909" s="18">
        <v>2.3906999999999998</v>
      </c>
      <c r="G909" s="18">
        <v>9.3679000000000006</v>
      </c>
      <c r="H909" s="18">
        <v>650.71469999999999</v>
      </c>
      <c r="K909" s="12"/>
      <c r="M909"/>
    </row>
    <row r="910" spans="2:13">
      <c r="B910" s="21">
        <v>12002</v>
      </c>
      <c r="C910" s="21" t="s">
        <v>196</v>
      </c>
      <c r="D910" s="21">
        <f t="shared" si="21"/>
        <v>22.573689999999999</v>
      </c>
      <c r="E910" s="22">
        <v>22.573689999999999</v>
      </c>
      <c r="F910" s="18">
        <v>0.81130000000000002</v>
      </c>
      <c r="G910" s="18">
        <v>3.1791</v>
      </c>
      <c r="H910" s="18">
        <v>220.8296</v>
      </c>
      <c r="J910" s="12"/>
      <c r="M910"/>
    </row>
    <row r="911" spans="2:13">
      <c r="B911" s="21">
        <v>12005</v>
      </c>
      <c r="C911" s="21" t="s">
        <v>197</v>
      </c>
      <c r="D911" s="21">
        <f t="shared" si="21"/>
        <v>26.2395</v>
      </c>
      <c r="E911" s="22">
        <v>26.2395</v>
      </c>
      <c r="F911" s="18">
        <v>0.94310000000000005</v>
      </c>
      <c r="G911" s="18">
        <v>3.6953999999999998</v>
      </c>
      <c r="H911" s="18">
        <v>256.69080000000002</v>
      </c>
      <c r="J911" s="12"/>
      <c r="M911"/>
    </row>
    <row r="912" spans="2:13">
      <c r="B912" s="21">
        <v>12008</v>
      </c>
      <c r="C912" s="21" t="s">
        <v>198</v>
      </c>
      <c r="D912" s="21">
        <f t="shared" si="21"/>
        <v>26.423249999999999</v>
      </c>
      <c r="E912" s="22">
        <v>26.423249999999999</v>
      </c>
      <c r="F912" s="18">
        <v>0.94969999999999999</v>
      </c>
      <c r="G912" s="18">
        <v>3.7212999999999998</v>
      </c>
      <c r="H912" s="18">
        <v>258.48829999999998</v>
      </c>
      <c r="J912" s="12"/>
      <c r="M912"/>
    </row>
    <row r="913" spans="2:13">
      <c r="B913" s="21">
        <v>12306</v>
      </c>
      <c r="C913" s="21" t="s">
        <v>199</v>
      </c>
      <c r="D913" s="21">
        <f t="shared" si="21"/>
        <v>4.2951600000000001</v>
      </c>
      <c r="E913" s="22">
        <v>4.2951600000000001</v>
      </c>
      <c r="F913" s="18">
        <v>0.15440000000000001</v>
      </c>
      <c r="G913" s="18">
        <v>0.60489999999999999</v>
      </c>
      <c r="H913" s="18">
        <v>42.017899999999997</v>
      </c>
      <c r="J913" s="12"/>
      <c r="M913"/>
    </row>
    <row r="914" spans="2:13">
      <c r="B914" s="21">
        <v>12318</v>
      </c>
      <c r="C914" s="21" t="s">
        <v>200</v>
      </c>
      <c r="D914" s="21">
        <f t="shared" si="21"/>
        <v>6.2750599999999999</v>
      </c>
      <c r="E914" s="22">
        <v>6.2750599999999999</v>
      </c>
      <c r="F914" s="18">
        <v>0.22550000000000001</v>
      </c>
      <c r="G914" s="18">
        <v>0.88370000000000004</v>
      </c>
      <c r="H914" s="18">
        <v>61.386499999999998</v>
      </c>
      <c r="K914" s="12"/>
      <c r="M914"/>
    </row>
    <row r="915" spans="2:13">
      <c r="B915" s="21">
        <v>12323</v>
      </c>
      <c r="C915" s="21" t="s">
        <v>201</v>
      </c>
      <c r="D915" s="21">
        <f t="shared" si="21"/>
        <v>16.073540000000001</v>
      </c>
      <c r="E915" s="22">
        <v>16.073540000000001</v>
      </c>
      <c r="F915" s="18">
        <v>0.57769999999999999</v>
      </c>
      <c r="G915" s="18">
        <v>2.2637</v>
      </c>
      <c r="H915" s="18">
        <v>157.24119999999999</v>
      </c>
      <c r="K915" s="12"/>
      <c r="M915"/>
    </row>
    <row r="916" spans="2:13">
      <c r="B916" s="21">
        <v>12319</v>
      </c>
      <c r="C916" s="21" t="s">
        <v>202</v>
      </c>
      <c r="D916" s="21">
        <f t="shared" si="21"/>
        <v>21.0945</v>
      </c>
      <c r="E916" s="22">
        <v>21.0945</v>
      </c>
      <c r="F916" s="18">
        <v>0.75819999999999999</v>
      </c>
      <c r="G916" s="18">
        <v>2.9708000000000001</v>
      </c>
      <c r="H916" s="18">
        <v>206.35919999999999</v>
      </c>
      <c r="K916" s="12"/>
      <c r="M916"/>
    </row>
    <row r="917" spans="2:13" ht="14.25" customHeight="1">
      <c r="B917" s="18">
        <v>12023</v>
      </c>
      <c r="C917" s="19" t="s">
        <v>656</v>
      </c>
      <c r="D917" s="21">
        <f t="shared" si="21"/>
        <v>36.267659999999999</v>
      </c>
      <c r="E917" s="18">
        <v>36.267659999999999</v>
      </c>
      <c r="F917" s="18">
        <v>1.3035000000000001</v>
      </c>
      <c r="G917" s="18">
        <v>5.1077000000000004</v>
      </c>
      <c r="H917" s="18">
        <v>354.79230000000001</v>
      </c>
      <c r="K917" s="12"/>
      <c r="M917"/>
    </row>
    <row r="918" spans="2:13" ht="14.25" customHeight="1">
      <c r="B918" s="2" t="s">
        <v>761</v>
      </c>
      <c r="C918" s="24"/>
      <c r="D918" s="25" t="s">
        <v>760</v>
      </c>
      <c r="E918" s="2" t="s">
        <v>759</v>
      </c>
      <c r="F918" s="25" t="s">
        <v>760</v>
      </c>
      <c r="G918" s="2" t="s">
        <v>759</v>
      </c>
      <c r="H918" s="2"/>
      <c r="K918" s="12"/>
      <c r="M918"/>
    </row>
    <row r="919" spans="2:13" ht="14.25" customHeight="1">
      <c r="B919" s="2" t="s">
        <v>747</v>
      </c>
      <c r="C919" s="24" t="s">
        <v>253</v>
      </c>
      <c r="D919" s="25" t="s">
        <v>762</v>
      </c>
      <c r="E919" s="2" t="s">
        <v>762</v>
      </c>
      <c r="F919" s="2" t="str">
        <f t="shared" ref="F919:F938" si="22">CONCATENATE(C919,"",D919)</f>
        <v>STRONG 30N(15580+15585)</v>
      </c>
      <c r="G919" s="2" t="str">
        <f t="shared" ref="G919:G938" si="23">CONCATENATE(C919,"",E919)</f>
        <v>STRONG 30N(15580+15585)</v>
      </c>
      <c r="H919" s="2"/>
      <c r="K919" s="12"/>
      <c r="M919"/>
    </row>
    <row r="920" spans="2:13" ht="14.25" customHeight="1">
      <c r="B920" s="2" t="s">
        <v>747</v>
      </c>
      <c r="C920" s="24" t="s">
        <v>254</v>
      </c>
      <c r="D920" s="25" t="s">
        <v>763</v>
      </c>
      <c r="E920" s="2" t="s">
        <v>763</v>
      </c>
      <c r="F920" s="2" t="str">
        <f t="shared" si="22"/>
        <v>STRONG 60N(15581+15585)</v>
      </c>
      <c r="G920" s="2" t="str">
        <f t="shared" si="23"/>
        <v>STRONG 60N(15581+15585)</v>
      </c>
      <c r="H920" s="2"/>
      <c r="K920" s="12"/>
      <c r="M920"/>
    </row>
    <row r="921" spans="2:13" ht="14.25" customHeight="1">
      <c r="B921" s="2" t="s">
        <v>747</v>
      </c>
      <c r="C921" s="24" t="s">
        <v>255</v>
      </c>
      <c r="D921" s="25" t="s">
        <v>764</v>
      </c>
      <c r="E921" s="2" t="s">
        <v>764</v>
      </c>
      <c r="F921" s="2" t="str">
        <f t="shared" si="22"/>
        <v>STRONG 80N(15582+15585)</v>
      </c>
      <c r="G921" s="2" t="str">
        <f t="shared" si="23"/>
        <v>STRONG 80N(15582+15585)</v>
      </c>
      <c r="H921" s="2"/>
      <c r="K921" s="12"/>
      <c r="M921"/>
    </row>
    <row r="922" spans="2:13" ht="14.25" customHeight="1">
      <c r="B922" s="2" t="s">
        <v>747</v>
      </c>
      <c r="C922" s="24" t="s">
        <v>256</v>
      </c>
      <c r="D922" s="25" t="s">
        <v>765</v>
      </c>
      <c r="E922" s="2" t="s">
        <v>765</v>
      </c>
      <c r="F922" s="2" t="str">
        <f t="shared" si="22"/>
        <v>STRONG 100N(15583+15585)</v>
      </c>
      <c r="G922" s="2" t="str">
        <f t="shared" si="23"/>
        <v>STRONG 100N(15583+15585)</v>
      </c>
      <c r="H922" s="2"/>
      <c r="K922" s="12"/>
      <c r="M922"/>
    </row>
    <row r="923" spans="2:13" ht="14.25" customHeight="1">
      <c r="B923" s="2" t="s">
        <v>747</v>
      </c>
      <c r="C923" s="24" t="s">
        <v>257</v>
      </c>
      <c r="D923" s="25" t="s">
        <v>766</v>
      </c>
      <c r="E923" s="2" t="s">
        <v>766</v>
      </c>
      <c r="F923" s="2" t="str">
        <f t="shared" si="22"/>
        <v>STRONG 120N(15584+15585)</v>
      </c>
      <c r="G923" s="2" t="str">
        <f t="shared" si="23"/>
        <v>STRONG 120N(15584+15585)</v>
      </c>
      <c r="H923" s="2"/>
      <c r="K923" s="12"/>
      <c r="M923"/>
    </row>
    <row r="924" spans="2:13" ht="14.25" customHeight="1">
      <c r="B924" s="2" t="s">
        <v>747</v>
      </c>
      <c r="C924" s="24" t="s">
        <v>768</v>
      </c>
      <c r="D924" s="25" t="s">
        <v>778</v>
      </c>
      <c r="E924" s="25" t="s">
        <v>774</v>
      </c>
      <c r="F924" s="2" t="str">
        <f t="shared" si="22"/>
        <v>HUWILIFT MAXI (A)(135040+135044+135024)</v>
      </c>
      <c r="G924" s="2" t="str">
        <f t="shared" si="23"/>
        <v>HUWILIFT MAXI (A)(135040+135044+135045)</v>
      </c>
      <c r="H924" s="2"/>
      <c r="K924" s="12"/>
      <c r="M924"/>
    </row>
    <row r="925" spans="2:13" ht="14.25" customHeight="1">
      <c r="B925" s="2" t="s">
        <v>747</v>
      </c>
      <c r="C925" s="24" t="s">
        <v>769</v>
      </c>
      <c r="D925" s="25" t="s">
        <v>771</v>
      </c>
      <c r="E925" s="25" t="s">
        <v>775</v>
      </c>
      <c r="F925" s="2" t="str">
        <f t="shared" si="22"/>
        <v>HUWILIFT MAXI (B)(135041+135044+135024)</v>
      </c>
      <c r="G925" s="2" t="str">
        <f t="shared" si="23"/>
        <v>HUWILIFT MAXI (B)(135041+135044+135045)</v>
      </c>
      <c r="H925" s="2"/>
      <c r="K925" s="12"/>
      <c r="M925"/>
    </row>
    <row r="926" spans="2:13" ht="14.25" customHeight="1">
      <c r="B926" s="2" t="s">
        <v>747</v>
      </c>
      <c r="C926" s="24" t="s">
        <v>794</v>
      </c>
      <c r="D926" s="25" t="s">
        <v>772</v>
      </c>
      <c r="E926" s="25" t="s">
        <v>776</v>
      </c>
      <c r="F926" s="2" t="str">
        <f t="shared" si="22"/>
        <v>HUWILIFT MAXI (C )(135042+135044+135024)</v>
      </c>
      <c r="G926" s="2" t="str">
        <f t="shared" si="23"/>
        <v>HUWILIFT MAXI (C )(135042+135044+135045)</v>
      </c>
      <c r="H926" s="2"/>
      <c r="K926" s="12"/>
      <c r="M926"/>
    </row>
    <row r="927" spans="2:13" ht="14.25" customHeight="1">
      <c r="B927" s="2" t="s">
        <v>747</v>
      </c>
      <c r="C927" s="24" t="s">
        <v>770</v>
      </c>
      <c r="D927" s="25" t="s">
        <v>773</v>
      </c>
      <c r="E927" s="25" t="s">
        <v>777</v>
      </c>
      <c r="F927" s="2" t="str">
        <f t="shared" si="22"/>
        <v>HUWILIFT MAXI (D)(135043+135044+135024)</v>
      </c>
      <c r="G927" s="2" t="str">
        <f t="shared" si="23"/>
        <v>HUWILIFT MAXI (D)(135043+135044+135045)</v>
      </c>
      <c r="H927" s="2"/>
      <c r="K927" s="12"/>
      <c r="M927"/>
    </row>
    <row r="928" spans="2:13" ht="14.25" customHeight="1">
      <c r="B928" s="2" t="s">
        <v>747</v>
      </c>
      <c r="C928" s="24" t="s">
        <v>749</v>
      </c>
      <c r="D928" s="25" t="s">
        <v>971</v>
      </c>
      <c r="E928" s="25" t="s">
        <v>779</v>
      </c>
      <c r="F928" s="2" t="str">
        <f t="shared" si="22"/>
        <v>KRABY 164 45N(135006+15595-9 +15598)</v>
      </c>
      <c r="G928" s="2" t="str">
        <f t="shared" si="23"/>
        <v>KRABY 164 45N(135006+15595+15596)</v>
      </c>
      <c r="H928" s="2"/>
      <c r="K928" s="12"/>
      <c r="M928"/>
    </row>
    <row r="929" spans="2:11" customFormat="1" ht="14.25" customHeight="1">
      <c r="B929" s="2" t="s">
        <v>747</v>
      </c>
      <c r="C929" s="24" t="s">
        <v>750</v>
      </c>
      <c r="D929" s="25" t="s">
        <v>972</v>
      </c>
      <c r="E929" s="25" t="s">
        <v>780</v>
      </c>
      <c r="F929" s="2" t="str">
        <f t="shared" si="22"/>
        <v>KRABY 164 60N(135007+15595-9 +15598)</v>
      </c>
      <c r="G929" s="2" t="str">
        <f t="shared" si="23"/>
        <v>KRABY 164 60N(135007+15595+15596)</v>
      </c>
      <c r="H929" s="2"/>
      <c r="K929" s="12"/>
    </row>
    <row r="930" spans="2:11" customFormat="1" ht="14.25" customHeight="1">
      <c r="B930" s="2" t="s">
        <v>747</v>
      </c>
      <c r="C930" s="24" t="s">
        <v>751</v>
      </c>
      <c r="D930" s="25" t="s">
        <v>973</v>
      </c>
      <c r="E930" s="25" t="s">
        <v>781</v>
      </c>
      <c r="F930" s="2" t="str">
        <f t="shared" si="22"/>
        <v>KRABY 244 45N(15590+15595-9 +15598)</v>
      </c>
      <c r="G930" s="2" t="str">
        <f t="shared" si="23"/>
        <v>KRABY 244 45N(15590+15595+15596)</v>
      </c>
      <c r="H930" s="2"/>
      <c r="K930" s="12"/>
    </row>
    <row r="931" spans="2:11" customFormat="1" ht="14.25" customHeight="1">
      <c r="B931" s="2" t="s">
        <v>747</v>
      </c>
      <c r="C931" s="24" t="s">
        <v>752</v>
      </c>
      <c r="D931" s="25" t="s">
        <v>974</v>
      </c>
      <c r="E931" s="25" t="s">
        <v>782</v>
      </c>
      <c r="F931" s="2" t="str">
        <f t="shared" si="22"/>
        <v>KRABY 244 60N(15591+15595-9 +15598)</v>
      </c>
      <c r="G931" s="2" t="str">
        <f t="shared" si="23"/>
        <v>KRABY 244 60N(15591+15595+15596)</v>
      </c>
      <c r="H931" s="2"/>
      <c r="K931" s="12"/>
    </row>
    <row r="932" spans="2:11" customFormat="1" ht="14.25" customHeight="1">
      <c r="B932" s="2" t="s">
        <v>747</v>
      </c>
      <c r="C932" s="24" t="s">
        <v>753</v>
      </c>
      <c r="D932" s="25" t="s">
        <v>975</v>
      </c>
      <c r="E932" s="25" t="s">
        <v>783</v>
      </c>
      <c r="F932" s="2" t="str">
        <f t="shared" si="22"/>
        <v>KRABY 244 90N(15592+15595-9 +15598)</v>
      </c>
      <c r="G932" s="2" t="str">
        <f t="shared" si="23"/>
        <v>KRABY 244 90N(15592+15595+15596)</v>
      </c>
      <c r="H932" s="2"/>
      <c r="K932" s="12"/>
    </row>
    <row r="933" spans="2:11" customFormat="1" ht="14.25" customHeight="1">
      <c r="B933" s="2" t="s">
        <v>747</v>
      </c>
      <c r="C933" s="24" t="s">
        <v>754</v>
      </c>
      <c r="D933" s="25" t="s">
        <v>976</v>
      </c>
      <c r="E933" s="25" t="s">
        <v>784</v>
      </c>
      <c r="F933" s="2" t="str">
        <f t="shared" si="22"/>
        <v>KRABY 244 120N(15593+15595-9 +15598)</v>
      </c>
      <c r="G933" s="2" t="str">
        <f t="shared" si="23"/>
        <v>KRABY 244 120N(15593+15595+15596)</v>
      </c>
      <c r="H933" s="2"/>
      <c r="K933" s="12"/>
    </row>
    <row r="934" spans="2:11" customFormat="1" ht="14.25" customHeight="1">
      <c r="B934" s="2" t="s">
        <v>747</v>
      </c>
      <c r="C934" s="24" t="s">
        <v>755</v>
      </c>
      <c r="D934" s="25" t="s">
        <v>977</v>
      </c>
      <c r="E934" s="25" t="s">
        <v>785</v>
      </c>
      <c r="F934" s="2" t="str">
        <f t="shared" si="22"/>
        <v>KRABY 355 45N(135008+15595-9 +15598)</v>
      </c>
      <c r="G934" s="2" t="str">
        <f t="shared" si="23"/>
        <v>KRABY 355 45N(135008+15595+15596)</v>
      </c>
      <c r="H934" s="2"/>
      <c r="K934" s="12"/>
    </row>
    <row r="935" spans="2:11" customFormat="1" ht="14.25" customHeight="1">
      <c r="B935" s="2" t="s">
        <v>747</v>
      </c>
      <c r="C935" s="24" t="s">
        <v>756</v>
      </c>
      <c r="D935" s="25" t="s">
        <v>978</v>
      </c>
      <c r="E935" s="25" t="s">
        <v>786</v>
      </c>
      <c r="F935" s="2" t="str">
        <f t="shared" si="22"/>
        <v>KRABY 355 60N(135009+15595-9 +15598)</v>
      </c>
      <c r="G935" s="2" t="str">
        <f t="shared" si="23"/>
        <v>KRABY 355 60N(135009+15595+15596)</v>
      </c>
      <c r="H935" s="2"/>
      <c r="K935" s="12"/>
    </row>
    <row r="936" spans="2:11" customFormat="1" ht="14.25" customHeight="1">
      <c r="B936" s="2" t="s">
        <v>747</v>
      </c>
      <c r="C936" s="24" t="s">
        <v>757</v>
      </c>
      <c r="D936" s="25" t="s">
        <v>979</v>
      </c>
      <c r="E936" s="25" t="s">
        <v>787</v>
      </c>
      <c r="F936" s="2" t="str">
        <f t="shared" si="22"/>
        <v>KRABY 355 90N(135010+15595-9 +15598)</v>
      </c>
      <c r="G936" s="2" t="str">
        <f t="shared" si="23"/>
        <v>KRABY 355 90N(135010+15595+15596)</v>
      </c>
      <c r="H936" s="2"/>
      <c r="K936" s="12"/>
    </row>
    <row r="937" spans="2:11" customFormat="1" ht="14.25" customHeight="1">
      <c r="B937" s="2" t="s">
        <v>747</v>
      </c>
      <c r="C937" s="24" t="s">
        <v>758</v>
      </c>
      <c r="D937" s="25" t="s">
        <v>980</v>
      </c>
      <c r="E937" s="25" t="s">
        <v>788</v>
      </c>
      <c r="F937" s="2" t="str">
        <f t="shared" si="22"/>
        <v>KRABY 355 120N(135011+15595-9 +15598)</v>
      </c>
      <c r="G937" s="2" t="str">
        <f t="shared" si="23"/>
        <v>KRABY 355 120N(135011+15595+15596)</v>
      </c>
      <c r="H937" s="2"/>
      <c r="K937" s="12"/>
    </row>
    <row r="938" spans="2:11" customFormat="1" ht="14.25" customHeight="1">
      <c r="B938" s="2" t="s">
        <v>798</v>
      </c>
      <c r="C938" s="24" t="s">
        <v>852</v>
      </c>
      <c r="D938" s="25" t="s">
        <v>792</v>
      </c>
      <c r="E938" s="2" t="s">
        <v>793</v>
      </c>
      <c r="F938" s="2" t="str">
        <f t="shared" si="22"/>
        <v>HUWIL DUO (90°)(135017+135019+135024)</v>
      </c>
      <c r="G938" s="2" t="str">
        <f t="shared" si="23"/>
        <v>HUWIL DUO (90°)(135017+135019+135021)</v>
      </c>
      <c r="H938" s="2"/>
      <c r="K938" s="12"/>
    </row>
    <row r="939" spans="2:11" customFormat="1" ht="14.25" customHeight="1">
      <c r="B939" s="2" t="s">
        <v>748</v>
      </c>
      <c r="C939" s="24" t="s">
        <v>110</v>
      </c>
      <c r="D939" s="25" t="s">
        <v>767</v>
      </c>
      <c r="E939" s="2" t="s">
        <v>767</v>
      </c>
      <c r="F939" s="2" t="str">
        <f>CONCATENATE(C939,"",$B$250,"",D939)</f>
        <v>STRONGspodní(15490+15490)</v>
      </c>
      <c r="G939" s="2" t="str">
        <f>CONCATENATE(C939,"",$B$250,"",E939)</f>
        <v>STRONGspodní(15490+15490)</v>
      </c>
      <c r="H939" s="2"/>
      <c r="K939" s="12"/>
    </row>
    <row r="940" spans="2:11" customFormat="1" ht="14.25" customHeight="1">
      <c r="B940" s="2" t="s">
        <v>748</v>
      </c>
      <c r="C940" s="24" t="s">
        <v>795</v>
      </c>
      <c r="D940" s="25" t="s">
        <v>981</v>
      </c>
      <c r="E940" s="25" t="s">
        <v>789</v>
      </c>
      <c r="F940" s="2" t="str">
        <f>CONCATENATE(C940,"",$B$250,"",D940)</f>
        <v>KRABY 164spodní(15588+15595-9 +15598)</v>
      </c>
      <c r="G940" s="2" t="str">
        <f>CONCATENATE(C940,"",$B$250,"",E940)</f>
        <v>KRABY 164spodní(15588+15595+15596)</v>
      </c>
      <c r="H940" s="2"/>
      <c r="K940" s="12"/>
    </row>
    <row r="941" spans="2:11" customFormat="1" ht="14.25" customHeight="1">
      <c r="B941" s="2" t="s">
        <v>748</v>
      </c>
      <c r="C941" s="24" t="s">
        <v>796</v>
      </c>
      <c r="D941" s="25" t="s">
        <v>982</v>
      </c>
      <c r="E941" s="25" t="s">
        <v>790</v>
      </c>
      <c r="F941" s="2" t="str">
        <f>CONCATENATE(C941,"",$B$250,"",D941)</f>
        <v>KRABY 244spodní(15594+15595-9 +15598)</v>
      </c>
      <c r="G941" s="2" t="str">
        <f>CONCATENATE(C941,"",$B$250,"",E941)</f>
        <v>KRABY 244spodní(15594+15595+15596)</v>
      </c>
      <c r="H941" s="2"/>
      <c r="K941" s="12"/>
    </row>
    <row r="942" spans="2:11" customFormat="1" ht="14.25" customHeight="1">
      <c r="B942" s="2" t="s">
        <v>748</v>
      </c>
      <c r="C942" s="24" t="s">
        <v>797</v>
      </c>
      <c r="D942" s="25" t="s">
        <v>983</v>
      </c>
      <c r="E942" s="25" t="s">
        <v>791</v>
      </c>
      <c r="F942" s="2" t="str">
        <f>CONCATENATE(C942,"",$B$250,"",D942)</f>
        <v>KRABY 355spodní(15589+15595-9 +15598)</v>
      </c>
      <c r="G942" s="2" t="str">
        <f>CONCATENATE(C942,"",$B$250,"",E942)</f>
        <v>KRABY 355spodní(15589+15595+15596)</v>
      </c>
      <c r="H942" s="2"/>
      <c r="K942" s="12"/>
    </row>
    <row r="943" spans="2:11" customFormat="1" ht="14.25" customHeight="1">
      <c r="B943" s="2"/>
      <c r="C943" s="24"/>
      <c r="D943" s="25"/>
      <c r="E943" s="2"/>
      <c r="F943" s="2"/>
      <c r="G943" s="2"/>
      <c r="H943" s="2"/>
      <c r="K943" s="12"/>
    </row>
    <row r="944" spans="2:11" customFormat="1" ht="14.25" customHeight="1">
      <c r="B944" s="2"/>
      <c r="C944" s="24"/>
      <c r="D944" s="25"/>
      <c r="E944" s="2"/>
      <c r="F944" s="2"/>
      <c r="G944" s="2"/>
      <c r="H944" s="2"/>
      <c r="K944" s="12" t="str">
        <f>HM_UCH</f>
        <v>Hmotnost úchytky (g)</v>
      </c>
    </row>
    <row r="945" spans="2:13" ht="14.25" customHeight="1">
      <c r="B945" s="2"/>
      <c r="C945" s="24"/>
      <c r="D945" s="25"/>
      <c r="E945" s="2"/>
      <c r="F945" s="2"/>
      <c r="G945" s="2"/>
      <c r="H945" s="2"/>
      <c r="K945" s="12"/>
      <c r="M945"/>
    </row>
    <row r="946" spans="2:13" ht="14.25" customHeight="1">
      <c r="B946" s="2"/>
      <c r="C946" s="24"/>
      <c r="D946" s="25"/>
      <c r="E946" s="2"/>
      <c r="F946" s="2"/>
      <c r="G946" s="2"/>
      <c r="H946" s="2"/>
      <c r="K946" s="12"/>
      <c r="M946"/>
    </row>
    <row r="947" spans="2:13" ht="14.25" customHeight="1">
      <c r="B947" s="2"/>
      <c r="C947" s="24"/>
      <c r="D947" s="25"/>
      <c r="E947" s="2"/>
      <c r="F947" s="2"/>
      <c r="G947" s="2"/>
      <c r="H947" s="2"/>
      <c r="K947" s="12"/>
      <c r="M947"/>
    </row>
    <row r="948" spans="2:13">
      <c r="B948" s="1">
        <v>15555</v>
      </c>
      <c r="C948" s="1" t="s">
        <v>229</v>
      </c>
      <c r="D948" s="25" t="str">
        <f t="shared" ref="D948:D962" si="24">CONCATENATE(C948," (",(B948),")")</f>
        <v>Gamma 30N (15555)</v>
      </c>
      <c r="E948">
        <f>IF($D$1=1,F948,IF($D$1=2,G948,IF($D$1=3,H948,IF($D$1=4,I948,0))))</f>
        <v>199</v>
      </c>
      <c r="F948">
        <f t="shared" ref="F948:F961" si="25">VLOOKUP(B948,$B$973:$H$1071,4)</f>
        <v>199</v>
      </c>
      <c r="G948">
        <f t="shared" ref="G948:G961" si="26">VLOOKUP(B948,$B$973:$H$1071,5)</f>
        <v>8.4144000000000005</v>
      </c>
      <c r="H948">
        <f t="shared" ref="H948:H961" si="27">VLOOKUP(B948,$B$973:$H$1071,6)</f>
        <v>24.875</v>
      </c>
      <c r="I948">
        <f t="shared" ref="I948:I961" si="28">VLOOKUP(B948,$B$973:$H$1071,7)</f>
        <v>1838.587</v>
      </c>
      <c r="M948"/>
    </row>
    <row r="949" spans="2:13">
      <c r="B949" s="1">
        <v>15556</v>
      </c>
      <c r="C949" s="1" t="s">
        <v>230</v>
      </c>
      <c r="D949" s="25" t="str">
        <f t="shared" si="24"/>
        <v>Gamma 60N (15556)</v>
      </c>
      <c r="E949">
        <f t="shared" ref="E949:E961" si="29">IF($D$1=1,F949,IF($D$1=2,G949,IF($D$1=3,H949,IF($D$1=4,I949,0))))</f>
        <v>199</v>
      </c>
      <c r="F949">
        <f t="shared" si="25"/>
        <v>199</v>
      </c>
      <c r="G949">
        <f t="shared" si="26"/>
        <v>8.4144000000000005</v>
      </c>
      <c r="H949">
        <f t="shared" si="27"/>
        <v>24.875</v>
      </c>
      <c r="I949">
        <f t="shared" si="28"/>
        <v>1838.587</v>
      </c>
      <c r="M949"/>
    </row>
    <row r="950" spans="2:13">
      <c r="B950" s="1">
        <v>15557</v>
      </c>
      <c r="C950" s="1" t="s">
        <v>231</v>
      </c>
      <c r="D950" s="25" t="str">
        <f t="shared" si="24"/>
        <v>Gamma 80N (15557)</v>
      </c>
      <c r="E950">
        <f t="shared" si="29"/>
        <v>199</v>
      </c>
      <c r="F950">
        <f t="shared" si="25"/>
        <v>199</v>
      </c>
      <c r="G950">
        <f t="shared" si="26"/>
        <v>8.4144000000000005</v>
      </c>
      <c r="H950">
        <f t="shared" si="27"/>
        <v>24.875</v>
      </c>
      <c r="I950">
        <f t="shared" si="28"/>
        <v>1838.587</v>
      </c>
      <c r="M950"/>
    </row>
    <row r="951" spans="2:13">
      <c r="B951" s="1">
        <v>15558</v>
      </c>
      <c r="C951" s="1" t="s">
        <v>232</v>
      </c>
      <c r="D951" s="25" t="str">
        <f t="shared" si="24"/>
        <v>Gamma 100N (15558)</v>
      </c>
      <c r="E951">
        <f t="shared" si="29"/>
        <v>199</v>
      </c>
      <c r="F951">
        <f t="shared" si="25"/>
        <v>199</v>
      </c>
      <c r="G951">
        <f t="shared" si="26"/>
        <v>8.4144000000000005</v>
      </c>
      <c r="H951">
        <f t="shared" si="27"/>
        <v>24.875</v>
      </c>
      <c r="I951">
        <f t="shared" si="28"/>
        <v>1838.587</v>
      </c>
      <c r="M951"/>
    </row>
    <row r="952" spans="2:13">
      <c r="B952" s="1">
        <v>15559</v>
      </c>
      <c r="C952" s="1" t="s">
        <v>233</v>
      </c>
      <c r="D952" s="25" t="str">
        <f t="shared" si="24"/>
        <v>Gamma 120N (15559)</v>
      </c>
      <c r="E952">
        <f t="shared" si="29"/>
        <v>199</v>
      </c>
      <c r="F952">
        <f t="shared" si="25"/>
        <v>199</v>
      </c>
      <c r="G952">
        <f t="shared" si="26"/>
        <v>8.4144000000000005</v>
      </c>
      <c r="H952">
        <f t="shared" si="27"/>
        <v>24.875</v>
      </c>
      <c r="I952">
        <f t="shared" si="28"/>
        <v>1838.587</v>
      </c>
      <c r="M952"/>
    </row>
    <row r="953" spans="2:13">
      <c r="B953" s="1">
        <v>15580</v>
      </c>
      <c r="C953" s="1" t="s">
        <v>253</v>
      </c>
      <c r="D953" s="25" t="str">
        <f t="shared" si="24"/>
        <v>STRONG 30N (15580)</v>
      </c>
      <c r="E953">
        <f t="shared" si="29"/>
        <v>50</v>
      </c>
      <c r="F953">
        <f t="shared" si="25"/>
        <v>50</v>
      </c>
      <c r="G953">
        <f t="shared" si="26"/>
        <v>2.1141999999999999</v>
      </c>
      <c r="H953">
        <f t="shared" si="27"/>
        <v>6.25</v>
      </c>
      <c r="I953">
        <f t="shared" si="28"/>
        <v>461.95650000000001</v>
      </c>
      <c r="M953"/>
    </row>
    <row r="954" spans="2:13">
      <c r="B954" s="1">
        <v>15581</v>
      </c>
      <c r="C954" s="1" t="s">
        <v>254</v>
      </c>
      <c r="D954" s="25" t="str">
        <f t="shared" si="24"/>
        <v>STRONG 60N (15581)</v>
      </c>
      <c r="E954">
        <f t="shared" si="29"/>
        <v>50</v>
      </c>
      <c r="F954">
        <f t="shared" si="25"/>
        <v>50</v>
      </c>
      <c r="G954">
        <f t="shared" si="26"/>
        <v>2.1141999999999999</v>
      </c>
      <c r="H954">
        <f t="shared" si="27"/>
        <v>6.25</v>
      </c>
      <c r="I954">
        <f t="shared" si="28"/>
        <v>461.95650000000001</v>
      </c>
      <c r="M954"/>
    </row>
    <row r="955" spans="2:13">
      <c r="B955" s="1">
        <v>15582</v>
      </c>
      <c r="C955" s="1" t="s">
        <v>255</v>
      </c>
      <c r="D955" s="25" t="str">
        <f t="shared" si="24"/>
        <v>STRONG 80N (15582)</v>
      </c>
      <c r="E955">
        <f t="shared" si="29"/>
        <v>50</v>
      </c>
      <c r="F955">
        <f t="shared" si="25"/>
        <v>50</v>
      </c>
      <c r="G955">
        <f t="shared" si="26"/>
        <v>2.1141999999999999</v>
      </c>
      <c r="H955">
        <f t="shared" si="27"/>
        <v>6.25</v>
      </c>
      <c r="I955">
        <f t="shared" si="28"/>
        <v>461.95650000000001</v>
      </c>
      <c r="M955"/>
    </row>
    <row r="956" spans="2:13">
      <c r="B956" s="1">
        <v>15583</v>
      </c>
      <c r="C956" s="1" t="s">
        <v>256</v>
      </c>
      <c r="D956" s="25" t="str">
        <f t="shared" si="24"/>
        <v>STRONG 100N (15583)</v>
      </c>
      <c r="E956">
        <f t="shared" si="29"/>
        <v>50</v>
      </c>
      <c r="F956">
        <f t="shared" si="25"/>
        <v>50</v>
      </c>
      <c r="G956">
        <f t="shared" si="26"/>
        <v>2.1141999999999999</v>
      </c>
      <c r="H956">
        <f t="shared" si="27"/>
        <v>6.25</v>
      </c>
      <c r="I956">
        <f t="shared" si="28"/>
        <v>461.95650000000001</v>
      </c>
      <c r="M956"/>
    </row>
    <row r="957" spans="2:13">
      <c r="B957" s="1">
        <v>15584</v>
      </c>
      <c r="C957" s="1" t="s">
        <v>257</v>
      </c>
      <c r="D957" s="25" t="str">
        <f t="shared" si="24"/>
        <v>STRONG 120N (15584)</v>
      </c>
      <c r="E957">
        <f t="shared" si="29"/>
        <v>50</v>
      </c>
      <c r="F957">
        <f t="shared" si="25"/>
        <v>50</v>
      </c>
      <c r="G957">
        <f t="shared" si="26"/>
        <v>2.1141999999999999</v>
      </c>
      <c r="H957">
        <f t="shared" si="27"/>
        <v>6.25</v>
      </c>
      <c r="I957">
        <f t="shared" si="28"/>
        <v>461.95650000000001</v>
      </c>
      <c r="M957"/>
    </row>
    <row r="958" spans="2:13">
      <c r="B958" s="1">
        <v>15590</v>
      </c>
      <c r="C958" s="1" t="s">
        <v>235</v>
      </c>
      <c r="D958" s="25" t="str">
        <f t="shared" si="24"/>
        <v>45N Kraby 244 (15590)</v>
      </c>
      <c r="E958">
        <f t="shared" si="29"/>
        <v>299.89999999999998</v>
      </c>
      <c r="F958">
        <f t="shared" si="25"/>
        <v>299.89999999999998</v>
      </c>
      <c r="G958">
        <f t="shared" si="26"/>
        <v>12.6808</v>
      </c>
      <c r="H958">
        <f t="shared" si="27"/>
        <v>37.487499999999997</v>
      </c>
      <c r="I958">
        <f t="shared" si="28"/>
        <v>2770.8152</v>
      </c>
      <c r="M958"/>
    </row>
    <row r="959" spans="2:13">
      <c r="B959" s="1">
        <v>15591</v>
      </c>
      <c r="C959" s="1" t="s">
        <v>236</v>
      </c>
      <c r="D959" s="25" t="str">
        <f t="shared" si="24"/>
        <v>60N Kraby 244 (15591)</v>
      </c>
      <c r="E959">
        <f t="shared" si="29"/>
        <v>299.89999999999998</v>
      </c>
      <c r="F959">
        <f t="shared" si="25"/>
        <v>299.89999999999998</v>
      </c>
      <c r="G959">
        <f t="shared" si="26"/>
        <v>12.6808</v>
      </c>
      <c r="H959">
        <f t="shared" si="27"/>
        <v>37.487499999999997</v>
      </c>
      <c r="I959">
        <f t="shared" si="28"/>
        <v>2770.8152</v>
      </c>
      <c r="M959"/>
    </row>
    <row r="960" spans="2:13">
      <c r="B960" s="1">
        <v>15592</v>
      </c>
      <c r="C960" s="1" t="s">
        <v>237</v>
      </c>
      <c r="D960" s="25" t="str">
        <f t="shared" si="24"/>
        <v>90N Kraby 244 (15592)</v>
      </c>
      <c r="E960">
        <f t="shared" si="29"/>
        <v>299.89999999999998</v>
      </c>
      <c r="F960">
        <f t="shared" si="25"/>
        <v>299.89999999999998</v>
      </c>
      <c r="G960">
        <f t="shared" si="26"/>
        <v>12.6808</v>
      </c>
      <c r="H960">
        <f t="shared" si="27"/>
        <v>37.487499999999997</v>
      </c>
      <c r="I960">
        <f t="shared" si="28"/>
        <v>2770.8152</v>
      </c>
      <c r="M960"/>
    </row>
    <row r="961" spans="2:13">
      <c r="B961" s="1">
        <v>15593</v>
      </c>
      <c r="C961" s="1" t="s">
        <v>238</v>
      </c>
      <c r="D961" s="25" t="str">
        <f t="shared" si="24"/>
        <v>120N Kraby 244 (15593)</v>
      </c>
      <c r="E961">
        <f t="shared" si="29"/>
        <v>299.89999999999998</v>
      </c>
      <c r="F961">
        <f t="shared" si="25"/>
        <v>299.89999999999998</v>
      </c>
      <c r="G961">
        <f t="shared" si="26"/>
        <v>12.6808</v>
      </c>
      <c r="H961">
        <f t="shared" si="27"/>
        <v>37.487499999999997</v>
      </c>
      <c r="I961">
        <f t="shared" si="28"/>
        <v>2770.8152</v>
      </c>
      <c r="M961"/>
    </row>
    <row r="962" spans="2:13">
      <c r="B962" s="1" t="s">
        <v>624</v>
      </c>
      <c r="C962" s="1" t="s">
        <v>623</v>
      </c>
      <c r="D962" s="25" t="str">
        <f t="shared" si="24"/>
        <v>FGV-Aero Wing (AW007)</v>
      </c>
      <c r="E962">
        <f>IF($D$1=1,F962,IF($D$1=2,G962,IF($D$1=3,H962,IF($D$1=4,I962,0))))</f>
        <v>159</v>
      </c>
      <c r="F962">
        <v>159</v>
      </c>
      <c r="G962">
        <v>6.7229999999999999</v>
      </c>
      <c r="H962">
        <v>19.875</v>
      </c>
      <c r="I962">
        <v>1469.0217</v>
      </c>
      <c r="M962"/>
    </row>
    <row r="963" spans="2:13">
      <c r="B963" s="1">
        <v>15585</v>
      </c>
      <c r="C963" s="1" t="s">
        <v>365</v>
      </c>
      <c r="E963">
        <f t="shared" ref="E963:E969" si="30">IF($D$1=1,F963,IF($D$1=2,G963,IF($D$1=3,H963,IF($D$1=4,I963,0))))</f>
        <v>3.1249699999999998</v>
      </c>
      <c r="F963">
        <f t="shared" ref="F963:F969" si="31">VLOOKUP(B963,$B$973:$H$1071,4)</f>
        <v>3.1249699999999998</v>
      </c>
      <c r="G963">
        <f t="shared" ref="G963:G969" si="32">VLOOKUP(B963,$B$973:$H$1071,5)</f>
        <v>0.1321</v>
      </c>
      <c r="H963">
        <f t="shared" ref="H963:H969" si="33">VLOOKUP(B963,$B$973:$H$1071,6)</f>
        <v>0.3906</v>
      </c>
      <c r="I963">
        <f t="shared" ref="I963:I969" si="34">VLOOKUP(B963,$B$973:$H$1071,7)</f>
        <v>28.872</v>
      </c>
      <c r="M963"/>
    </row>
    <row r="964" spans="2:13">
      <c r="B964" s="1">
        <v>15538</v>
      </c>
      <c r="C964" s="1" t="s">
        <v>234</v>
      </c>
      <c r="E964">
        <f t="shared" si="30"/>
        <v>10.8</v>
      </c>
      <c r="F964">
        <f t="shared" si="31"/>
        <v>10.8</v>
      </c>
      <c r="G964">
        <f t="shared" si="32"/>
        <v>0.45669999999999999</v>
      </c>
      <c r="H964">
        <f t="shared" si="33"/>
        <v>1.35</v>
      </c>
      <c r="I964">
        <f t="shared" si="34"/>
        <v>99.782600000000002</v>
      </c>
      <c r="M964"/>
    </row>
    <row r="965" spans="2:13">
      <c r="B965" s="1">
        <v>15595</v>
      </c>
      <c r="C965" s="1" t="s">
        <v>366</v>
      </c>
      <c r="E965">
        <f t="shared" si="30"/>
        <v>13.4</v>
      </c>
      <c r="F965">
        <f t="shared" si="31"/>
        <v>13.4</v>
      </c>
      <c r="G965">
        <f t="shared" si="32"/>
        <v>0.56659999999999999</v>
      </c>
      <c r="H965">
        <f t="shared" si="33"/>
        <v>1.675</v>
      </c>
      <c r="I965">
        <f t="shared" si="34"/>
        <v>123.8044</v>
      </c>
      <c r="M965"/>
    </row>
    <row r="966" spans="2:13">
      <c r="B966" s="1">
        <v>15596</v>
      </c>
      <c r="C966" s="1" t="s">
        <v>367</v>
      </c>
      <c r="E966">
        <f t="shared" si="30"/>
        <v>11.9</v>
      </c>
      <c r="F966">
        <f t="shared" si="31"/>
        <v>11.9</v>
      </c>
      <c r="G966">
        <f t="shared" si="32"/>
        <v>0.50319999999999998</v>
      </c>
      <c r="H966">
        <f t="shared" si="33"/>
        <v>1.4875</v>
      </c>
      <c r="I966">
        <f t="shared" si="34"/>
        <v>109.9457</v>
      </c>
      <c r="M966"/>
    </row>
    <row r="967" spans="2:13">
      <c r="B967" s="1">
        <v>15597</v>
      </c>
      <c r="C967" s="1" t="s">
        <v>368</v>
      </c>
      <c r="E967">
        <f t="shared" si="30"/>
        <v>11.423999999999999</v>
      </c>
      <c r="F967">
        <f t="shared" si="31"/>
        <v>11.423999999999999</v>
      </c>
      <c r="G967">
        <f t="shared" si="32"/>
        <v>0.48299999999999998</v>
      </c>
      <c r="H967">
        <f t="shared" si="33"/>
        <v>1.4279999999999999</v>
      </c>
      <c r="I967">
        <f t="shared" si="34"/>
        <v>105.5478</v>
      </c>
      <c r="M967"/>
    </row>
    <row r="968" spans="2:13">
      <c r="B968" s="1">
        <v>15598</v>
      </c>
      <c r="C968" s="1" t="s">
        <v>369</v>
      </c>
      <c r="E968">
        <f t="shared" si="30"/>
        <v>0.52359999999999995</v>
      </c>
      <c r="F968">
        <f t="shared" si="31"/>
        <v>0.52359999999999995</v>
      </c>
      <c r="G968">
        <f t="shared" si="32"/>
        <v>2.2100000000000002E-2</v>
      </c>
      <c r="H968">
        <f t="shared" si="33"/>
        <v>6.5500000000000003E-2</v>
      </c>
      <c r="I968">
        <f t="shared" si="34"/>
        <v>4.8376000000000001</v>
      </c>
      <c r="M968"/>
    </row>
    <row r="969" spans="2:13">
      <c r="B969" s="1">
        <v>15599</v>
      </c>
      <c r="C969" s="1" t="s">
        <v>370</v>
      </c>
      <c r="E969">
        <f t="shared" si="30"/>
        <v>0.80920000000000003</v>
      </c>
      <c r="F969">
        <f t="shared" si="31"/>
        <v>0.80920000000000003</v>
      </c>
      <c r="G969">
        <f t="shared" si="32"/>
        <v>3.4200000000000001E-2</v>
      </c>
      <c r="H969">
        <f t="shared" si="33"/>
        <v>0.1012</v>
      </c>
      <c r="I969">
        <f t="shared" si="34"/>
        <v>7.4763000000000002</v>
      </c>
      <c r="M969"/>
    </row>
    <row r="970" spans="2:13">
      <c r="B970" s="1">
        <v>0</v>
      </c>
      <c r="E970">
        <v>0</v>
      </c>
      <c r="M970"/>
    </row>
    <row r="972" spans="2:13">
      <c r="B972" s="29" t="s">
        <v>361</v>
      </c>
      <c r="C972" s="29" t="s">
        <v>33</v>
      </c>
      <c r="D972" s="29" t="s">
        <v>362</v>
      </c>
      <c r="E972" s="29" t="s">
        <v>363</v>
      </c>
      <c r="F972" s="29" t="s">
        <v>364</v>
      </c>
      <c r="G972" s="29" t="s">
        <v>135</v>
      </c>
      <c r="H972" s="29" t="s">
        <v>136</v>
      </c>
      <c r="M972"/>
    </row>
    <row r="973" spans="2:13">
      <c r="B973" s="26">
        <v>15500</v>
      </c>
      <c r="C973" s="28" t="s">
        <v>259</v>
      </c>
      <c r="D973" s="28" t="s">
        <v>260</v>
      </c>
      <c r="E973" s="27">
        <v>97.995000000000005</v>
      </c>
      <c r="F973" s="27">
        <v>4.1436000000000002</v>
      </c>
      <c r="G973" s="27">
        <v>13.066000000000001</v>
      </c>
      <c r="H973" s="27">
        <v>905.3886</v>
      </c>
      <c r="M973"/>
    </row>
    <row r="974" spans="2:13">
      <c r="B974" s="26">
        <v>15501</v>
      </c>
      <c r="C974" s="28" t="s">
        <v>261</v>
      </c>
      <c r="D974" s="28" t="s">
        <v>260</v>
      </c>
      <c r="E974" s="27">
        <v>31.957999999999998</v>
      </c>
      <c r="F974" s="27">
        <v>1.3512999999999999</v>
      </c>
      <c r="G974" s="27">
        <v>4.2610999999999999</v>
      </c>
      <c r="H974" s="27">
        <v>295.26409999999998</v>
      </c>
      <c r="M974"/>
    </row>
    <row r="975" spans="2:13">
      <c r="B975" s="26">
        <v>15502</v>
      </c>
      <c r="C975" s="28" t="s">
        <v>262</v>
      </c>
      <c r="D975" s="28" t="s">
        <v>260</v>
      </c>
      <c r="E975" s="27">
        <v>24.8</v>
      </c>
      <c r="F975" s="27">
        <v>1.0486</v>
      </c>
      <c r="G975" s="27">
        <v>3.3067000000000002</v>
      </c>
      <c r="H975" s="27">
        <v>229.13040000000001</v>
      </c>
      <c r="M975"/>
    </row>
    <row r="976" spans="2:13">
      <c r="B976" s="26">
        <v>15503</v>
      </c>
      <c r="C976" s="28" t="s">
        <v>263</v>
      </c>
      <c r="D976" s="28" t="s">
        <v>260</v>
      </c>
      <c r="E976" s="27">
        <v>36.042000000000002</v>
      </c>
      <c r="F976" s="27">
        <v>1.524</v>
      </c>
      <c r="G976" s="27">
        <v>4.8056000000000001</v>
      </c>
      <c r="H976" s="27">
        <v>332.99669999999998</v>
      </c>
      <c r="M976"/>
    </row>
    <row r="977" spans="2:13">
      <c r="B977" s="26">
        <v>15504</v>
      </c>
      <c r="C977" s="28" t="s">
        <v>264</v>
      </c>
      <c r="D977" s="28" t="s">
        <v>260</v>
      </c>
      <c r="E977" s="27">
        <v>32.917999999999999</v>
      </c>
      <c r="F977" s="27">
        <v>1.3918999999999999</v>
      </c>
      <c r="G977" s="27">
        <v>4.3891</v>
      </c>
      <c r="H977" s="27">
        <v>304.13369999999998</v>
      </c>
      <c r="M977"/>
    </row>
    <row r="978" spans="2:13">
      <c r="B978" s="26">
        <v>15505</v>
      </c>
      <c r="C978" s="28" t="s">
        <v>265</v>
      </c>
      <c r="D978" s="28" t="s">
        <v>260</v>
      </c>
      <c r="E978" s="27">
        <v>3.4950000000000001</v>
      </c>
      <c r="F978" s="27">
        <v>0.14779999999999999</v>
      </c>
      <c r="G978" s="27">
        <v>0.46600000000000003</v>
      </c>
      <c r="H978" s="27">
        <v>32.290799999999997</v>
      </c>
      <c r="M978"/>
    </row>
    <row r="979" spans="2:13">
      <c r="B979" s="26">
        <v>15506</v>
      </c>
      <c r="C979" s="28" t="s">
        <v>266</v>
      </c>
      <c r="D979" s="28" t="s">
        <v>260</v>
      </c>
      <c r="E979" s="27">
        <v>14.977</v>
      </c>
      <c r="F979" s="27">
        <v>0.63329999999999997</v>
      </c>
      <c r="G979" s="27">
        <v>1.9968999999999999</v>
      </c>
      <c r="H979" s="27">
        <v>138.37450000000001</v>
      </c>
      <c r="M979"/>
    </row>
    <row r="980" spans="2:13">
      <c r="B980" s="26">
        <v>15507</v>
      </c>
      <c r="C980" s="28" t="s">
        <v>267</v>
      </c>
      <c r="D980" s="28" t="s">
        <v>260</v>
      </c>
      <c r="E980" s="27">
        <v>39</v>
      </c>
      <c r="F980" s="27">
        <v>1.6491</v>
      </c>
      <c r="G980" s="27">
        <v>5.2</v>
      </c>
      <c r="H980" s="27">
        <v>360.3261</v>
      </c>
      <c r="M980"/>
    </row>
    <row r="981" spans="2:13">
      <c r="B981" s="26">
        <v>15508</v>
      </c>
      <c r="C981" s="28" t="s">
        <v>268</v>
      </c>
      <c r="D981" s="28" t="s">
        <v>260</v>
      </c>
      <c r="E981" s="27">
        <v>5</v>
      </c>
      <c r="F981" s="27">
        <v>0.2114</v>
      </c>
      <c r="G981" s="27">
        <v>0.66669999999999996</v>
      </c>
      <c r="H981" s="27">
        <v>46.195700000000002</v>
      </c>
      <c r="M981"/>
    </row>
    <row r="982" spans="2:13">
      <c r="B982" s="26">
        <v>15509</v>
      </c>
      <c r="C982" s="28" t="s">
        <v>269</v>
      </c>
      <c r="D982" s="28" t="s">
        <v>260</v>
      </c>
      <c r="E982" s="27">
        <v>2</v>
      </c>
      <c r="F982" s="27">
        <v>8.4599999999999995E-2</v>
      </c>
      <c r="G982" s="27">
        <v>0.26669999999999999</v>
      </c>
      <c r="H982" s="27">
        <v>18.478300000000001</v>
      </c>
      <c r="M982"/>
    </row>
    <row r="983" spans="2:13">
      <c r="B983" s="26">
        <v>15510</v>
      </c>
      <c r="C983" s="28" t="s">
        <v>270</v>
      </c>
      <c r="D983" s="28" t="s">
        <v>260</v>
      </c>
      <c r="E983" s="27">
        <v>4.9960000000000004</v>
      </c>
      <c r="F983" s="27">
        <v>0.21129999999999999</v>
      </c>
      <c r="G983" s="27">
        <v>0.54120000000000001</v>
      </c>
      <c r="H983" s="27">
        <v>40.728299999999997</v>
      </c>
      <c r="M983"/>
    </row>
    <row r="984" spans="2:13">
      <c r="B984" s="26">
        <v>15511</v>
      </c>
      <c r="C984" s="28" t="s">
        <v>271</v>
      </c>
      <c r="D984" s="28" t="s">
        <v>260</v>
      </c>
      <c r="E984" s="27">
        <v>2</v>
      </c>
      <c r="F984" s="27">
        <v>8.4599999999999995E-2</v>
      </c>
      <c r="G984" s="27">
        <v>0.26669999999999999</v>
      </c>
      <c r="H984" s="27">
        <v>18.478300000000001</v>
      </c>
      <c r="M984"/>
    </row>
    <row r="985" spans="2:13">
      <c r="B985" s="26">
        <v>15512</v>
      </c>
      <c r="C985" s="28" t="s">
        <v>272</v>
      </c>
      <c r="D985" s="28" t="s">
        <v>260</v>
      </c>
      <c r="E985" s="27">
        <v>121.8</v>
      </c>
      <c r="F985" s="27">
        <v>5.1501000000000001</v>
      </c>
      <c r="G985" s="27">
        <v>16.239999999999998</v>
      </c>
      <c r="H985" s="27">
        <v>1125.3261</v>
      </c>
      <c r="M985"/>
    </row>
    <row r="986" spans="2:13">
      <c r="B986" s="26">
        <v>15513</v>
      </c>
      <c r="C986" s="28" t="s">
        <v>273</v>
      </c>
      <c r="D986" s="28" t="s">
        <v>260</v>
      </c>
      <c r="E986" s="27">
        <v>117</v>
      </c>
      <c r="F986" s="27">
        <v>4.9471999999999996</v>
      </c>
      <c r="G986" s="27">
        <v>15.6</v>
      </c>
      <c r="H986" s="27">
        <v>1080.9783</v>
      </c>
      <c r="M986"/>
    </row>
    <row r="987" spans="2:13">
      <c r="B987" s="26">
        <v>15514</v>
      </c>
      <c r="C987" s="28" t="s">
        <v>274</v>
      </c>
      <c r="D987" s="28" t="s">
        <v>260</v>
      </c>
      <c r="E987" s="27">
        <v>4.9000000000000004</v>
      </c>
      <c r="F987" s="27">
        <v>0.2072</v>
      </c>
      <c r="G987" s="27">
        <v>0.65329999999999999</v>
      </c>
      <c r="H987" s="27">
        <v>45.271700000000003</v>
      </c>
      <c r="M987"/>
    </row>
    <row r="988" spans="2:13">
      <c r="B988" s="26">
        <v>15515</v>
      </c>
      <c r="C988" s="28" t="s">
        <v>275</v>
      </c>
      <c r="D988" s="28" t="s">
        <v>260</v>
      </c>
      <c r="E988" s="27">
        <v>1299</v>
      </c>
      <c r="F988" s="27">
        <v>54.926000000000002</v>
      </c>
      <c r="G988" s="27">
        <v>173.2</v>
      </c>
      <c r="H988" s="27">
        <v>12001.6304</v>
      </c>
      <c r="M988"/>
    </row>
    <row r="989" spans="2:13">
      <c r="B989" s="26">
        <v>15516</v>
      </c>
      <c r="C989" s="28" t="s">
        <v>276</v>
      </c>
      <c r="D989" s="28" t="s">
        <v>260</v>
      </c>
      <c r="E989" s="27">
        <v>1299</v>
      </c>
      <c r="F989" s="27">
        <v>54.926000000000002</v>
      </c>
      <c r="G989" s="27">
        <v>173.2</v>
      </c>
      <c r="H989" s="27">
        <v>12001.6304</v>
      </c>
      <c r="M989"/>
    </row>
    <row r="990" spans="2:13">
      <c r="B990" s="26">
        <v>15517</v>
      </c>
      <c r="C990" s="28" t="s">
        <v>277</v>
      </c>
      <c r="D990" s="28" t="s">
        <v>260</v>
      </c>
      <c r="E990" s="27">
        <v>59.4</v>
      </c>
      <c r="F990" s="27">
        <v>2.5116000000000001</v>
      </c>
      <c r="G990" s="27">
        <v>7.92</v>
      </c>
      <c r="H990" s="27">
        <v>548.80439999999999</v>
      </c>
      <c r="M990"/>
    </row>
    <row r="991" spans="2:13">
      <c r="B991" s="26">
        <v>15518</v>
      </c>
      <c r="C991" s="28" t="s">
        <v>278</v>
      </c>
      <c r="D991" s="28" t="s">
        <v>260</v>
      </c>
      <c r="E991" s="27">
        <v>3.4950000000000001</v>
      </c>
      <c r="F991" s="27">
        <v>0.14779999999999999</v>
      </c>
      <c r="G991" s="27">
        <v>0.46600000000000003</v>
      </c>
      <c r="H991" s="27">
        <v>32.290799999999997</v>
      </c>
      <c r="M991"/>
    </row>
    <row r="992" spans="2:13">
      <c r="B992" s="26">
        <v>15519</v>
      </c>
      <c r="C992" s="28" t="s">
        <v>279</v>
      </c>
      <c r="D992" s="28" t="s">
        <v>260</v>
      </c>
      <c r="E992" s="27">
        <v>78.245999999999995</v>
      </c>
      <c r="F992" s="27">
        <v>3.3085</v>
      </c>
      <c r="G992" s="27">
        <v>10.4328</v>
      </c>
      <c r="H992" s="27">
        <v>722.92499999999995</v>
      </c>
      <c r="M992"/>
    </row>
    <row r="993" spans="2:13">
      <c r="B993" s="26">
        <v>15520</v>
      </c>
      <c r="C993" s="28" t="s">
        <v>280</v>
      </c>
      <c r="D993" s="28" t="s">
        <v>260</v>
      </c>
      <c r="E993" s="27">
        <v>0.39900000000000002</v>
      </c>
      <c r="F993" s="27">
        <v>1.6899999999999998E-2</v>
      </c>
      <c r="G993" s="27">
        <v>5.3199999999999997E-2</v>
      </c>
      <c r="H993" s="27">
        <v>3.6863999999999999</v>
      </c>
      <c r="M993"/>
    </row>
    <row r="994" spans="2:13">
      <c r="B994" s="26">
        <v>15521</v>
      </c>
      <c r="C994" s="28" t="s">
        <v>281</v>
      </c>
      <c r="D994" s="28" t="s">
        <v>260</v>
      </c>
      <c r="E994" s="27">
        <v>153.56479999999999</v>
      </c>
      <c r="F994" s="27">
        <v>6.4931999999999999</v>
      </c>
      <c r="G994" s="27">
        <v>19.195599999999999</v>
      </c>
      <c r="H994" s="27">
        <v>1418.8052</v>
      </c>
      <c r="M994"/>
    </row>
    <row r="995" spans="2:13">
      <c r="B995" s="26">
        <v>15522</v>
      </c>
      <c r="C995" s="28" t="s">
        <v>282</v>
      </c>
      <c r="D995" s="28" t="s">
        <v>260</v>
      </c>
      <c r="E995" s="27">
        <v>159</v>
      </c>
      <c r="F995" s="27">
        <v>6.7229999999999999</v>
      </c>
      <c r="G995" s="27">
        <v>19.875</v>
      </c>
      <c r="H995" s="27">
        <v>1469.0217</v>
      </c>
      <c r="M995"/>
    </row>
    <row r="996" spans="2:13">
      <c r="B996" s="26">
        <v>15523</v>
      </c>
      <c r="C996" s="28" t="s">
        <v>283</v>
      </c>
      <c r="D996" s="28" t="s">
        <v>260</v>
      </c>
      <c r="E996" s="27">
        <v>159</v>
      </c>
      <c r="F996" s="27">
        <v>6.7229999999999999</v>
      </c>
      <c r="G996" s="27">
        <v>19.875</v>
      </c>
      <c r="H996" s="27">
        <v>1469.0217</v>
      </c>
      <c r="M996"/>
    </row>
    <row r="997" spans="2:13">
      <c r="B997" s="26">
        <v>15524</v>
      </c>
      <c r="C997" s="28" t="s">
        <v>284</v>
      </c>
      <c r="D997" s="28" t="s">
        <v>260</v>
      </c>
      <c r="E997" s="27">
        <v>1299</v>
      </c>
      <c r="F997" s="27">
        <v>54.926000000000002</v>
      </c>
      <c r="G997" s="27">
        <v>173.2</v>
      </c>
      <c r="H997" s="27">
        <v>12001.6304</v>
      </c>
      <c r="M997"/>
    </row>
    <row r="998" spans="2:13">
      <c r="B998" s="26">
        <v>15525</v>
      </c>
      <c r="C998" s="28" t="s">
        <v>285</v>
      </c>
      <c r="D998" s="28" t="s">
        <v>260</v>
      </c>
      <c r="E998" s="27">
        <v>1189.92</v>
      </c>
      <c r="F998" s="27">
        <v>50.313699999999997</v>
      </c>
      <c r="G998" s="27">
        <v>148.74</v>
      </c>
      <c r="H998" s="27">
        <v>10993.8261</v>
      </c>
      <c r="M998"/>
    </row>
    <row r="999" spans="2:13">
      <c r="B999" s="26">
        <v>15526</v>
      </c>
      <c r="C999" s="28" t="s">
        <v>286</v>
      </c>
      <c r="D999" s="28" t="s">
        <v>260</v>
      </c>
      <c r="E999" s="27">
        <v>150</v>
      </c>
      <c r="F999" s="27">
        <v>6.3425000000000002</v>
      </c>
      <c r="G999" s="27">
        <v>18.75</v>
      </c>
      <c r="H999" s="27">
        <v>1385.8696</v>
      </c>
      <c r="M999"/>
    </row>
    <row r="1000" spans="2:13">
      <c r="B1000" s="26">
        <v>15527</v>
      </c>
      <c r="C1000" s="28" t="s">
        <v>287</v>
      </c>
      <c r="D1000" s="28" t="s">
        <v>260</v>
      </c>
      <c r="E1000" s="27">
        <v>150</v>
      </c>
      <c r="F1000" s="27">
        <v>6.3425000000000002</v>
      </c>
      <c r="G1000" s="27">
        <v>18.75</v>
      </c>
      <c r="H1000" s="27">
        <v>1385.8696</v>
      </c>
      <c r="M1000"/>
    </row>
    <row r="1001" spans="2:13">
      <c r="B1001" s="26">
        <v>15528</v>
      </c>
      <c r="C1001" s="28" t="s">
        <v>288</v>
      </c>
      <c r="D1001" s="28" t="s">
        <v>260</v>
      </c>
      <c r="E1001" s="27">
        <v>348</v>
      </c>
      <c r="F1001" s="27">
        <v>14.714600000000001</v>
      </c>
      <c r="G1001" s="27">
        <v>43.5</v>
      </c>
      <c r="H1001" s="27">
        <v>3215.2174</v>
      </c>
      <c r="M1001"/>
    </row>
    <row r="1002" spans="2:13">
      <c r="B1002" s="26">
        <v>15529</v>
      </c>
      <c r="C1002" s="28" t="s">
        <v>289</v>
      </c>
      <c r="D1002" s="28" t="s">
        <v>260</v>
      </c>
      <c r="E1002" s="27">
        <v>149</v>
      </c>
      <c r="F1002" s="27">
        <v>6.3002000000000002</v>
      </c>
      <c r="G1002" s="27">
        <v>18.625</v>
      </c>
      <c r="H1002" s="27">
        <v>1376.6304</v>
      </c>
      <c r="M1002"/>
    </row>
    <row r="1003" spans="2:13">
      <c r="B1003" s="26">
        <v>15530</v>
      </c>
      <c r="C1003" s="28" t="s">
        <v>290</v>
      </c>
      <c r="D1003" s="28" t="s">
        <v>260</v>
      </c>
      <c r="E1003" s="27">
        <v>0.61109999999999998</v>
      </c>
      <c r="F1003" s="27">
        <v>2.58E-2</v>
      </c>
      <c r="G1003" s="27">
        <v>7.6399999999999996E-2</v>
      </c>
      <c r="H1003" s="27">
        <v>5.3139000000000003</v>
      </c>
      <c r="M1003"/>
    </row>
    <row r="1004" spans="2:13">
      <c r="B1004" s="26">
        <v>15531</v>
      </c>
      <c r="C1004" s="28" t="s">
        <v>291</v>
      </c>
      <c r="D1004" s="28" t="s">
        <v>260</v>
      </c>
      <c r="E1004" s="27">
        <v>299</v>
      </c>
      <c r="F1004" s="27">
        <v>12.6427</v>
      </c>
      <c r="G1004" s="27">
        <v>37.375</v>
      </c>
      <c r="H1004" s="27">
        <v>2762.5</v>
      </c>
      <c r="M1004"/>
    </row>
    <row r="1005" spans="2:13">
      <c r="B1005" s="26">
        <v>15532</v>
      </c>
      <c r="C1005" s="28" t="s">
        <v>292</v>
      </c>
      <c r="D1005" s="28" t="s">
        <v>260</v>
      </c>
      <c r="E1005" s="27">
        <v>299</v>
      </c>
      <c r="F1005" s="27">
        <v>12.6427</v>
      </c>
      <c r="G1005" s="27">
        <v>37.375</v>
      </c>
      <c r="H1005" s="27">
        <v>2762.5</v>
      </c>
      <c r="M1005"/>
    </row>
    <row r="1006" spans="2:13">
      <c r="B1006" s="26">
        <v>15533</v>
      </c>
      <c r="C1006" s="28" t="s">
        <v>293</v>
      </c>
      <c r="D1006" s="28" t="s">
        <v>260</v>
      </c>
      <c r="E1006" s="27">
        <v>199</v>
      </c>
      <c r="F1006" s="27">
        <v>8.4144000000000005</v>
      </c>
      <c r="G1006" s="27">
        <v>24.875</v>
      </c>
      <c r="H1006" s="27">
        <v>1838.587</v>
      </c>
      <c r="M1006"/>
    </row>
    <row r="1007" spans="2:13">
      <c r="B1007" s="26">
        <v>15534</v>
      </c>
      <c r="C1007" s="28" t="s">
        <v>294</v>
      </c>
      <c r="D1007" s="28" t="s">
        <v>260</v>
      </c>
      <c r="E1007" s="27">
        <v>199</v>
      </c>
      <c r="F1007" s="27">
        <v>8.4144000000000005</v>
      </c>
      <c r="G1007" s="27">
        <v>24.875</v>
      </c>
      <c r="H1007" s="27">
        <v>1838.587</v>
      </c>
      <c r="M1007"/>
    </row>
    <row r="1008" spans="2:13">
      <c r="B1008" s="26">
        <v>15535</v>
      </c>
      <c r="C1008" s="28" t="s">
        <v>295</v>
      </c>
      <c r="D1008" s="28" t="s">
        <v>260</v>
      </c>
      <c r="E1008" s="27">
        <v>199</v>
      </c>
      <c r="F1008" s="27">
        <v>8.4144000000000005</v>
      </c>
      <c r="G1008" s="27">
        <v>24.875</v>
      </c>
      <c r="H1008" s="27">
        <v>1838.587</v>
      </c>
      <c r="M1008"/>
    </row>
    <row r="1009" spans="2:13">
      <c r="B1009" s="26">
        <v>15536</v>
      </c>
      <c r="C1009" s="28" t="s">
        <v>296</v>
      </c>
      <c r="D1009" s="28" t="s">
        <v>260</v>
      </c>
      <c r="E1009" s="27">
        <v>199</v>
      </c>
      <c r="F1009" s="27">
        <v>8.4144000000000005</v>
      </c>
      <c r="G1009" s="27">
        <v>24.875</v>
      </c>
      <c r="H1009" s="27">
        <v>1838.587</v>
      </c>
      <c r="M1009"/>
    </row>
    <row r="1010" spans="2:13">
      <c r="B1010" s="26">
        <v>15537</v>
      </c>
      <c r="C1010" s="28" t="s">
        <v>297</v>
      </c>
      <c r="D1010" s="28" t="s">
        <v>260</v>
      </c>
      <c r="E1010" s="27">
        <v>199</v>
      </c>
      <c r="F1010" s="27">
        <v>8.4144000000000005</v>
      </c>
      <c r="G1010" s="27">
        <v>24.875</v>
      </c>
      <c r="H1010" s="27">
        <v>1838.587</v>
      </c>
      <c r="M1010"/>
    </row>
    <row r="1011" spans="2:13">
      <c r="B1011" s="26">
        <v>15538</v>
      </c>
      <c r="C1011" s="28" t="s">
        <v>298</v>
      </c>
      <c r="D1011" s="28" t="s">
        <v>260</v>
      </c>
      <c r="E1011" s="27">
        <v>10.8</v>
      </c>
      <c r="F1011" s="27">
        <v>0.45669999999999999</v>
      </c>
      <c r="G1011" s="27">
        <v>1.35</v>
      </c>
      <c r="H1011" s="27">
        <v>99.782600000000002</v>
      </c>
      <c r="M1011"/>
    </row>
    <row r="1012" spans="2:13">
      <c r="B1012" s="26">
        <v>15539</v>
      </c>
      <c r="C1012" s="28" t="s">
        <v>299</v>
      </c>
      <c r="D1012" s="28" t="s">
        <v>260</v>
      </c>
      <c r="E1012" s="27">
        <v>180</v>
      </c>
      <c r="F1012" s="27">
        <v>7.6109999999999998</v>
      </c>
      <c r="G1012" s="27">
        <v>22.5</v>
      </c>
      <c r="H1012" s="27">
        <v>1663.0435</v>
      </c>
      <c r="M1012"/>
    </row>
    <row r="1013" spans="2:13">
      <c r="B1013" s="26">
        <v>15540</v>
      </c>
      <c r="C1013" s="28" t="s">
        <v>300</v>
      </c>
      <c r="D1013" s="28" t="s">
        <v>260</v>
      </c>
      <c r="E1013" s="27">
        <v>180</v>
      </c>
      <c r="F1013" s="27">
        <v>7.6109999999999998</v>
      </c>
      <c r="G1013" s="27">
        <v>22.5</v>
      </c>
      <c r="H1013" s="27">
        <v>1663.0435</v>
      </c>
      <c r="M1013"/>
    </row>
    <row r="1014" spans="2:13">
      <c r="B1014" s="26">
        <v>15541</v>
      </c>
      <c r="C1014" s="28" t="s">
        <v>301</v>
      </c>
      <c r="D1014" s="28" t="s">
        <v>260</v>
      </c>
      <c r="E1014" s="27">
        <v>13.92</v>
      </c>
      <c r="F1014" s="27">
        <v>0.58860000000000001</v>
      </c>
      <c r="G1014" s="27">
        <v>1.8560000000000001</v>
      </c>
      <c r="H1014" s="27">
        <v>128.6087</v>
      </c>
      <c r="M1014"/>
    </row>
    <row r="1015" spans="2:13">
      <c r="B1015" s="26">
        <v>15542</v>
      </c>
      <c r="C1015" s="28" t="s">
        <v>302</v>
      </c>
      <c r="D1015" s="28" t="s">
        <v>260</v>
      </c>
      <c r="E1015" s="27">
        <v>4.4080000000000004</v>
      </c>
      <c r="F1015" s="27">
        <v>0.18640000000000001</v>
      </c>
      <c r="G1015" s="27">
        <v>0.5877</v>
      </c>
      <c r="H1015" s="27">
        <v>40.726100000000002</v>
      </c>
      <c r="M1015"/>
    </row>
    <row r="1016" spans="2:13">
      <c r="B1016" s="26">
        <v>15543</v>
      </c>
      <c r="C1016" s="28" t="s">
        <v>303</v>
      </c>
      <c r="D1016" s="28" t="s">
        <v>260</v>
      </c>
      <c r="E1016" s="27">
        <v>111.41200000000001</v>
      </c>
      <c r="F1016" s="27">
        <v>4.7108999999999996</v>
      </c>
      <c r="G1016" s="27">
        <v>14.854900000000001</v>
      </c>
      <c r="H1016" s="27">
        <v>1029.3499999999999</v>
      </c>
      <c r="M1016"/>
    </row>
    <row r="1017" spans="2:13">
      <c r="B1017" s="26">
        <v>15544</v>
      </c>
      <c r="C1017" s="28" t="s">
        <v>304</v>
      </c>
      <c r="D1017" s="28" t="s">
        <v>260</v>
      </c>
      <c r="E1017" s="27">
        <v>111.27200000000001</v>
      </c>
      <c r="F1017" s="27">
        <v>4.7050000000000001</v>
      </c>
      <c r="G1017" s="27">
        <v>14.8363</v>
      </c>
      <c r="H1017" s="27">
        <v>1028.0564999999999</v>
      </c>
      <c r="M1017"/>
    </row>
    <row r="1018" spans="2:13">
      <c r="B1018" s="26">
        <v>15545</v>
      </c>
      <c r="C1018" s="28" t="s">
        <v>305</v>
      </c>
      <c r="D1018" s="28" t="s">
        <v>260</v>
      </c>
      <c r="E1018" s="27">
        <v>1500</v>
      </c>
      <c r="F1018" s="27">
        <v>63.424999999999997</v>
      </c>
      <c r="G1018" s="27">
        <v>200</v>
      </c>
      <c r="H1018" s="27">
        <v>13858.6957</v>
      </c>
      <c r="M1018"/>
    </row>
    <row r="1019" spans="2:13">
      <c r="B1019" s="26">
        <v>15546</v>
      </c>
      <c r="C1019" s="28" t="s">
        <v>306</v>
      </c>
      <c r="D1019" s="28" t="s">
        <v>260</v>
      </c>
      <c r="E1019" s="27">
        <v>1599</v>
      </c>
      <c r="F1019" s="27">
        <v>67.611000000000004</v>
      </c>
      <c r="G1019" s="27">
        <v>213.2</v>
      </c>
      <c r="H1019" s="27">
        <v>14773.3696</v>
      </c>
      <c r="M1019"/>
    </row>
    <row r="1020" spans="2:13">
      <c r="B1020" s="26">
        <v>15547</v>
      </c>
      <c r="C1020" s="28" t="s">
        <v>307</v>
      </c>
      <c r="D1020" s="28" t="s">
        <v>260</v>
      </c>
      <c r="E1020" s="27">
        <v>1599</v>
      </c>
      <c r="F1020" s="27">
        <v>67.611000000000004</v>
      </c>
      <c r="G1020" s="27">
        <v>213.2</v>
      </c>
      <c r="H1020" s="27">
        <v>14773.3696</v>
      </c>
      <c r="M1020"/>
    </row>
    <row r="1021" spans="2:13">
      <c r="B1021" s="26">
        <v>15548</v>
      </c>
      <c r="C1021" s="28" t="s">
        <v>308</v>
      </c>
      <c r="D1021" s="28" t="s">
        <v>260</v>
      </c>
      <c r="E1021" s="27">
        <v>230.86</v>
      </c>
      <c r="F1021" s="27">
        <v>9.7614999999999998</v>
      </c>
      <c r="G1021" s="27">
        <v>30.781300000000002</v>
      </c>
      <c r="H1021" s="27">
        <v>2132.9457000000002</v>
      </c>
      <c r="M1021"/>
    </row>
    <row r="1022" spans="2:13">
      <c r="B1022" s="26">
        <v>15549</v>
      </c>
      <c r="C1022" s="28" t="s">
        <v>309</v>
      </c>
      <c r="D1022" s="28" t="s">
        <v>260</v>
      </c>
      <c r="E1022" s="27">
        <v>111.09</v>
      </c>
      <c r="F1022" s="27">
        <v>4.6973000000000003</v>
      </c>
      <c r="G1022" s="27">
        <v>14.811999999999999</v>
      </c>
      <c r="H1022" s="27">
        <v>1026.375</v>
      </c>
      <c r="M1022"/>
    </row>
    <row r="1023" spans="2:13">
      <c r="B1023" s="26">
        <v>15550</v>
      </c>
      <c r="C1023" s="28" t="s">
        <v>310</v>
      </c>
      <c r="D1023" s="28" t="s">
        <v>260</v>
      </c>
      <c r="E1023" s="27">
        <v>64.300319999999999</v>
      </c>
      <c r="F1023" s="27">
        <v>2.7187999999999999</v>
      </c>
      <c r="G1023" s="27">
        <v>8.5733999999999995</v>
      </c>
      <c r="H1023" s="27">
        <v>559.13319999999999</v>
      </c>
      <c r="M1023"/>
    </row>
    <row r="1024" spans="2:13">
      <c r="B1024" s="26">
        <v>15551</v>
      </c>
      <c r="C1024" s="28" t="s">
        <v>311</v>
      </c>
      <c r="D1024" s="28" t="s">
        <v>260</v>
      </c>
      <c r="E1024" s="27">
        <v>73.426640000000006</v>
      </c>
      <c r="F1024" s="27">
        <v>3.1046999999999998</v>
      </c>
      <c r="G1024" s="27">
        <v>9.7902000000000005</v>
      </c>
      <c r="H1024" s="27">
        <v>638.49249999999995</v>
      </c>
      <c r="M1024"/>
    </row>
    <row r="1025" spans="2:13">
      <c r="B1025" s="26">
        <v>15552</v>
      </c>
      <c r="C1025" s="28" t="s">
        <v>312</v>
      </c>
      <c r="D1025" s="28" t="s">
        <v>260</v>
      </c>
      <c r="E1025" s="27">
        <v>7</v>
      </c>
      <c r="F1025" s="27">
        <v>0.29599999999999999</v>
      </c>
      <c r="G1025" s="27">
        <v>0.93330000000000002</v>
      </c>
      <c r="H1025" s="27">
        <v>60.869599999999998</v>
      </c>
      <c r="M1025"/>
    </row>
    <row r="1026" spans="2:13">
      <c r="B1026" s="26">
        <v>15553</v>
      </c>
      <c r="C1026" s="28" t="s">
        <v>313</v>
      </c>
      <c r="D1026" s="28" t="s">
        <v>260</v>
      </c>
      <c r="E1026" s="27">
        <v>6.9160000000000004</v>
      </c>
      <c r="F1026" s="27">
        <v>0.29239999999999999</v>
      </c>
      <c r="G1026" s="27">
        <v>0.92210000000000003</v>
      </c>
      <c r="H1026" s="27">
        <v>63.897799999999997</v>
      </c>
      <c r="M1026"/>
    </row>
    <row r="1027" spans="2:13">
      <c r="B1027" s="26">
        <v>15554</v>
      </c>
      <c r="C1027" s="28" t="s">
        <v>314</v>
      </c>
      <c r="D1027" s="28" t="s">
        <v>260</v>
      </c>
      <c r="E1027" s="27">
        <v>103.5</v>
      </c>
      <c r="F1027" s="27">
        <v>4.3762999999999996</v>
      </c>
      <c r="G1027" s="27">
        <v>13.8</v>
      </c>
      <c r="H1027" s="27">
        <v>956.25</v>
      </c>
      <c r="M1027"/>
    </row>
    <row r="1028" spans="2:13">
      <c r="B1028" s="26">
        <v>15555</v>
      </c>
      <c r="C1028" s="28" t="s">
        <v>315</v>
      </c>
      <c r="D1028" s="28" t="s">
        <v>260</v>
      </c>
      <c r="E1028" s="27">
        <v>199</v>
      </c>
      <c r="F1028" s="27">
        <v>8.4144000000000005</v>
      </c>
      <c r="G1028" s="27">
        <v>24.875</v>
      </c>
      <c r="H1028" s="27">
        <v>1838.587</v>
      </c>
      <c r="M1028"/>
    </row>
    <row r="1029" spans="2:13">
      <c r="B1029" s="26">
        <v>15556</v>
      </c>
      <c r="C1029" s="28" t="s">
        <v>316</v>
      </c>
      <c r="D1029" s="28" t="s">
        <v>260</v>
      </c>
      <c r="E1029" s="27">
        <v>199</v>
      </c>
      <c r="F1029" s="27">
        <v>8.4144000000000005</v>
      </c>
      <c r="G1029" s="27">
        <v>24.875</v>
      </c>
      <c r="H1029" s="27">
        <v>1838.587</v>
      </c>
      <c r="M1029"/>
    </row>
    <row r="1030" spans="2:13">
      <c r="B1030" s="26">
        <v>15557</v>
      </c>
      <c r="C1030" s="28" t="s">
        <v>317</v>
      </c>
      <c r="D1030" s="28" t="s">
        <v>260</v>
      </c>
      <c r="E1030" s="27">
        <v>199</v>
      </c>
      <c r="F1030" s="27">
        <v>8.4144000000000005</v>
      </c>
      <c r="G1030" s="27">
        <v>24.875</v>
      </c>
      <c r="H1030" s="27">
        <v>1838.587</v>
      </c>
      <c r="M1030"/>
    </row>
    <row r="1031" spans="2:13">
      <c r="B1031" s="26">
        <v>15558</v>
      </c>
      <c r="C1031" s="28" t="s">
        <v>318</v>
      </c>
      <c r="D1031" s="28" t="s">
        <v>260</v>
      </c>
      <c r="E1031" s="27">
        <v>199</v>
      </c>
      <c r="F1031" s="27">
        <v>8.4144000000000005</v>
      </c>
      <c r="G1031" s="27">
        <v>24.875</v>
      </c>
      <c r="H1031" s="27">
        <v>1838.587</v>
      </c>
      <c r="M1031"/>
    </row>
    <row r="1032" spans="2:13">
      <c r="B1032" s="26">
        <v>15559</v>
      </c>
      <c r="C1032" s="28" t="s">
        <v>319</v>
      </c>
      <c r="D1032" s="28" t="s">
        <v>260</v>
      </c>
      <c r="E1032" s="27">
        <v>199</v>
      </c>
      <c r="F1032" s="27">
        <v>8.4144000000000005</v>
      </c>
      <c r="G1032" s="27">
        <v>24.875</v>
      </c>
      <c r="H1032" s="27">
        <v>1838.587</v>
      </c>
      <c r="M1032"/>
    </row>
    <row r="1033" spans="2:13">
      <c r="B1033" s="26">
        <v>15560</v>
      </c>
      <c r="C1033" s="28" t="s">
        <v>320</v>
      </c>
      <c r="D1033" s="28" t="s">
        <v>260</v>
      </c>
      <c r="E1033" s="27">
        <v>299</v>
      </c>
      <c r="F1033" s="27">
        <v>12.6427</v>
      </c>
      <c r="G1033" s="27">
        <v>37.375</v>
      </c>
      <c r="H1033" s="27">
        <v>2762.5</v>
      </c>
      <c r="M1033"/>
    </row>
    <row r="1034" spans="2:13">
      <c r="B1034" s="26">
        <v>15561</v>
      </c>
      <c r="C1034" s="28" t="s">
        <v>321</v>
      </c>
      <c r="D1034" s="28" t="s">
        <v>260</v>
      </c>
      <c r="E1034" s="27">
        <v>1599.33</v>
      </c>
      <c r="F1034" s="27">
        <v>67.625</v>
      </c>
      <c r="G1034" s="27">
        <v>213.244</v>
      </c>
      <c r="H1034" s="27">
        <v>14776.4185</v>
      </c>
      <c r="M1034"/>
    </row>
    <row r="1035" spans="2:13">
      <c r="B1035" s="26">
        <v>15562</v>
      </c>
      <c r="C1035" s="28" t="s">
        <v>322</v>
      </c>
      <c r="D1035" s="28" t="s">
        <v>260</v>
      </c>
      <c r="E1035" s="27">
        <v>82.08</v>
      </c>
      <c r="F1035" s="27">
        <v>3.4706000000000001</v>
      </c>
      <c r="G1035" s="27">
        <v>10.944000000000001</v>
      </c>
      <c r="H1035" s="27">
        <v>758.34780000000001</v>
      </c>
      <c r="M1035"/>
    </row>
    <row r="1036" spans="2:13">
      <c r="B1036" s="26">
        <v>15563</v>
      </c>
      <c r="C1036" s="28" t="s">
        <v>323</v>
      </c>
      <c r="D1036" s="28" t="s">
        <v>260</v>
      </c>
      <c r="E1036" s="27">
        <v>82.08</v>
      </c>
      <c r="F1036" s="27">
        <v>3.4706000000000001</v>
      </c>
      <c r="G1036" s="27">
        <v>10.944000000000001</v>
      </c>
      <c r="H1036" s="27">
        <v>758.34780000000001</v>
      </c>
      <c r="M1036"/>
    </row>
    <row r="1037" spans="2:13">
      <c r="B1037" s="26">
        <v>15564</v>
      </c>
      <c r="C1037" s="28" t="s">
        <v>324</v>
      </c>
      <c r="D1037" s="28" t="s">
        <v>260</v>
      </c>
      <c r="E1037" s="27">
        <v>28</v>
      </c>
      <c r="F1037" s="27">
        <v>1.1247</v>
      </c>
      <c r="G1037" s="27">
        <v>4.2</v>
      </c>
      <c r="H1037" s="27">
        <v>273.91300000000001</v>
      </c>
      <c r="M1037"/>
    </row>
    <row r="1038" spans="2:13">
      <c r="B1038" s="26">
        <v>15565</v>
      </c>
      <c r="C1038" s="28" t="s">
        <v>325</v>
      </c>
      <c r="D1038" s="28" t="s">
        <v>260</v>
      </c>
      <c r="E1038" s="27">
        <v>24</v>
      </c>
      <c r="F1038" s="27">
        <v>0.96409999999999996</v>
      </c>
      <c r="G1038" s="27">
        <v>3.6</v>
      </c>
      <c r="H1038" s="27">
        <v>234.7826</v>
      </c>
      <c r="M1038"/>
    </row>
    <row r="1039" spans="2:13">
      <c r="B1039" s="26">
        <v>15566</v>
      </c>
      <c r="C1039" s="28" t="s">
        <v>326</v>
      </c>
      <c r="D1039" s="28" t="s">
        <v>260</v>
      </c>
      <c r="E1039" s="27">
        <v>24</v>
      </c>
      <c r="F1039" s="27">
        <v>0.96409999999999996</v>
      </c>
      <c r="G1039" s="27">
        <v>3.6</v>
      </c>
      <c r="H1039" s="27">
        <v>234.7826</v>
      </c>
      <c r="M1039"/>
    </row>
    <row r="1040" spans="2:13">
      <c r="B1040" s="26">
        <v>15567</v>
      </c>
      <c r="C1040" s="28" t="s">
        <v>327</v>
      </c>
      <c r="D1040" s="28" t="s">
        <v>260</v>
      </c>
      <c r="E1040" s="27">
        <v>37</v>
      </c>
      <c r="F1040" s="27">
        <v>1.4863</v>
      </c>
      <c r="G1040" s="27">
        <v>5.55</v>
      </c>
      <c r="H1040" s="27">
        <v>361.95650000000001</v>
      </c>
      <c r="M1040"/>
    </row>
    <row r="1041" spans="2:13">
      <c r="B1041" s="26">
        <v>15568</v>
      </c>
      <c r="C1041" s="28" t="s">
        <v>328</v>
      </c>
      <c r="D1041" s="28" t="s">
        <v>260</v>
      </c>
      <c r="E1041" s="27">
        <v>168</v>
      </c>
      <c r="F1041" s="27">
        <v>6.7484000000000002</v>
      </c>
      <c r="G1041" s="27">
        <v>25.2</v>
      </c>
      <c r="H1041" s="27">
        <v>1643.4783</v>
      </c>
      <c r="M1041"/>
    </row>
    <row r="1042" spans="2:13">
      <c r="B1042" s="26">
        <v>15569</v>
      </c>
      <c r="C1042" s="28" t="s">
        <v>329</v>
      </c>
      <c r="D1042" s="28" t="s">
        <v>260</v>
      </c>
      <c r="E1042" s="27">
        <v>78</v>
      </c>
      <c r="F1042" s="27">
        <v>3.1332</v>
      </c>
      <c r="G1042" s="27">
        <v>11.7</v>
      </c>
      <c r="H1042" s="27">
        <v>763.04349999999999</v>
      </c>
      <c r="M1042"/>
    </row>
    <row r="1043" spans="2:13">
      <c r="B1043" s="26">
        <v>15570</v>
      </c>
      <c r="C1043" s="28" t="s">
        <v>330</v>
      </c>
      <c r="D1043" s="28" t="s">
        <v>260</v>
      </c>
      <c r="E1043" s="27">
        <v>58</v>
      </c>
      <c r="F1043" s="27">
        <v>2.3298000000000001</v>
      </c>
      <c r="G1043" s="27">
        <v>8.6999999999999993</v>
      </c>
      <c r="H1043" s="27">
        <v>567.3913</v>
      </c>
      <c r="M1043"/>
    </row>
    <row r="1044" spans="2:13">
      <c r="B1044" s="26">
        <v>15571</v>
      </c>
      <c r="C1044" s="28" t="s">
        <v>331</v>
      </c>
      <c r="D1044" s="28" t="s">
        <v>260</v>
      </c>
      <c r="E1044" s="27">
        <v>95</v>
      </c>
      <c r="F1044" s="27">
        <v>3.8161</v>
      </c>
      <c r="G1044" s="27">
        <v>14.25</v>
      </c>
      <c r="H1044" s="27">
        <v>929.34780000000001</v>
      </c>
      <c r="M1044"/>
    </row>
    <row r="1045" spans="2:13">
      <c r="B1045" s="26">
        <v>15572</v>
      </c>
      <c r="C1045" s="28" t="s">
        <v>332</v>
      </c>
      <c r="D1045" s="28" t="s">
        <v>260</v>
      </c>
      <c r="E1045" s="27">
        <v>138</v>
      </c>
      <c r="F1045" s="27">
        <v>5.5433000000000003</v>
      </c>
      <c r="G1045" s="27">
        <v>20.7</v>
      </c>
      <c r="H1045" s="27">
        <v>1350</v>
      </c>
      <c r="M1045"/>
    </row>
    <row r="1046" spans="2:13">
      <c r="B1046" s="26">
        <v>15573</v>
      </c>
      <c r="C1046" s="28" t="s">
        <v>333</v>
      </c>
      <c r="D1046" s="28" t="s">
        <v>260</v>
      </c>
      <c r="E1046" s="27">
        <v>113</v>
      </c>
      <c r="F1046" s="27">
        <v>4.5391000000000004</v>
      </c>
      <c r="G1046" s="27">
        <v>16.95</v>
      </c>
      <c r="H1046" s="27">
        <v>1105.4348</v>
      </c>
      <c r="M1046"/>
    </row>
    <row r="1047" spans="2:13">
      <c r="B1047" s="26">
        <v>15574</v>
      </c>
      <c r="C1047" s="28" t="s">
        <v>334</v>
      </c>
      <c r="D1047" s="28" t="s">
        <v>260</v>
      </c>
      <c r="E1047" s="27">
        <v>104</v>
      </c>
      <c r="F1047" s="27">
        <v>4.1776</v>
      </c>
      <c r="G1047" s="27">
        <v>15.6</v>
      </c>
      <c r="H1047" s="27">
        <v>1017.3913</v>
      </c>
      <c r="M1047"/>
    </row>
    <row r="1048" spans="2:13">
      <c r="B1048" s="26">
        <v>15575</v>
      </c>
      <c r="C1048" s="28" t="s">
        <v>335</v>
      </c>
      <c r="D1048" s="28" t="s">
        <v>260</v>
      </c>
      <c r="E1048" s="27">
        <v>87</v>
      </c>
      <c r="F1048" s="27">
        <v>3.4946999999999999</v>
      </c>
      <c r="G1048" s="27">
        <v>13.05</v>
      </c>
      <c r="H1048" s="27">
        <v>851.08699999999999</v>
      </c>
      <c r="M1048"/>
    </row>
    <row r="1049" spans="2:13">
      <c r="B1049" s="26">
        <v>15576</v>
      </c>
      <c r="C1049" s="28" t="s">
        <v>336</v>
      </c>
      <c r="D1049" s="28" t="s">
        <v>260</v>
      </c>
      <c r="E1049" s="27">
        <v>87</v>
      </c>
      <c r="F1049" s="27">
        <v>3.4946999999999999</v>
      </c>
      <c r="G1049" s="27">
        <v>13.05</v>
      </c>
      <c r="H1049" s="27">
        <v>851.08699999999999</v>
      </c>
      <c r="M1049"/>
    </row>
    <row r="1050" spans="2:13">
      <c r="B1050" s="26">
        <v>15577</v>
      </c>
      <c r="C1050" s="28" t="s">
        <v>337</v>
      </c>
      <c r="D1050" s="28" t="s">
        <v>338</v>
      </c>
      <c r="E1050" s="27">
        <v>386</v>
      </c>
      <c r="F1050" s="27">
        <v>15.5053</v>
      </c>
      <c r="G1050" s="27">
        <v>57.9</v>
      </c>
      <c r="H1050" s="27">
        <v>3776.087</v>
      </c>
      <c r="M1050"/>
    </row>
    <row r="1051" spans="2:13">
      <c r="B1051" s="26">
        <v>15578</v>
      </c>
      <c r="C1051" s="28" t="s">
        <v>339</v>
      </c>
      <c r="D1051" s="28" t="s">
        <v>260</v>
      </c>
      <c r="E1051" s="27">
        <v>4.1173999999999999</v>
      </c>
      <c r="F1051" s="27">
        <v>0.16539999999999999</v>
      </c>
      <c r="G1051" s="27">
        <v>0.61760000000000004</v>
      </c>
      <c r="H1051" s="27">
        <v>40.2789</v>
      </c>
      <c r="M1051"/>
    </row>
    <row r="1052" spans="2:13">
      <c r="B1052" s="26">
        <v>15579</v>
      </c>
      <c r="C1052" s="28" t="s">
        <v>340</v>
      </c>
      <c r="D1052" s="28" t="s">
        <v>260</v>
      </c>
      <c r="E1052" s="27">
        <v>47.6</v>
      </c>
      <c r="F1052" s="27">
        <v>1.9120999999999999</v>
      </c>
      <c r="G1052" s="27">
        <v>7.14</v>
      </c>
      <c r="H1052" s="27">
        <v>465.65219999999999</v>
      </c>
      <c r="M1052"/>
    </row>
    <row r="1053" spans="2:13">
      <c r="B1053" s="26">
        <v>15580</v>
      </c>
      <c r="C1053" s="28" t="s">
        <v>341</v>
      </c>
      <c r="D1053" s="28" t="s">
        <v>260</v>
      </c>
      <c r="E1053" s="27">
        <v>50</v>
      </c>
      <c r="F1053" s="27">
        <v>2.1141999999999999</v>
      </c>
      <c r="G1053" s="27">
        <v>6.25</v>
      </c>
      <c r="H1053" s="27">
        <v>461.95650000000001</v>
      </c>
      <c r="M1053"/>
    </row>
    <row r="1054" spans="2:13">
      <c r="B1054" s="26">
        <v>15581</v>
      </c>
      <c r="C1054" s="28" t="s">
        <v>342</v>
      </c>
      <c r="D1054" s="28" t="s">
        <v>260</v>
      </c>
      <c r="E1054" s="27">
        <v>50</v>
      </c>
      <c r="F1054" s="27">
        <v>2.1141999999999999</v>
      </c>
      <c r="G1054" s="27">
        <v>6.25</v>
      </c>
      <c r="H1054" s="27">
        <v>461.95650000000001</v>
      </c>
      <c r="M1054"/>
    </row>
    <row r="1055" spans="2:13">
      <c r="B1055" s="26">
        <v>15582</v>
      </c>
      <c r="C1055" s="28" t="s">
        <v>343</v>
      </c>
      <c r="D1055" s="28" t="s">
        <v>260</v>
      </c>
      <c r="E1055" s="27">
        <v>50</v>
      </c>
      <c r="F1055" s="27">
        <v>2.1141999999999999</v>
      </c>
      <c r="G1055" s="27">
        <v>6.25</v>
      </c>
      <c r="H1055" s="27">
        <v>461.95650000000001</v>
      </c>
      <c r="M1055"/>
    </row>
    <row r="1056" spans="2:13">
      <c r="B1056" s="26">
        <v>15583</v>
      </c>
      <c r="C1056" s="28" t="s">
        <v>344</v>
      </c>
      <c r="D1056" s="28" t="s">
        <v>260</v>
      </c>
      <c r="E1056" s="27">
        <v>50</v>
      </c>
      <c r="F1056" s="27">
        <v>2.1141999999999999</v>
      </c>
      <c r="G1056" s="27">
        <v>6.25</v>
      </c>
      <c r="H1056" s="27">
        <v>461.95650000000001</v>
      </c>
      <c r="M1056"/>
    </row>
    <row r="1057" spans="2:13">
      <c r="B1057" s="26">
        <v>15584</v>
      </c>
      <c r="C1057" s="28" t="s">
        <v>345</v>
      </c>
      <c r="D1057" s="28" t="s">
        <v>260</v>
      </c>
      <c r="E1057" s="27">
        <v>50</v>
      </c>
      <c r="F1057" s="27">
        <v>2.1141999999999999</v>
      </c>
      <c r="G1057" s="27">
        <v>6.25</v>
      </c>
      <c r="H1057" s="27">
        <v>461.95650000000001</v>
      </c>
      <c r="M1057"/>
    </row>
    <row r="1058" spans="2:13">
      <c r="B1058" s="26">
        <v>15585</v>
      </c>
      <c r="C1058" s="28" t="s">
        <v>346</v>
      </c>
      <c r="D1058" s="28" t="s">
        <v>347</v>
      </c>
      <c r="E1058" s="27">
        <v>3.1249699999999998</v>
      </c>
      <c r="F1058" s="27">
        <v>0.1321</v>
      </c>
      <c r="G1058" s="27">
        <v>0.3906</v>
      </c>
      <c r="H1058" s="27">
        <v>28.872</v>
      </c>
      <c r="M1058"/>
    </row>
    <row r="1059" spans="2:13">
      <c r="B1059" s="26">
        <v>15586</v>
      </c>
      <c r="C1059" s="28" t="s">
        <v>348</v>
      </c>
      <c r="D1059" s="28" t="s">
        <v>260</v>
      </c>
      <c r="E1059" s="27">
        <v>3.4</v>
      </c>
      <c r="F1059" s="27">
        <v>0.14380000000000001</v>
      </c>
      <c r="G1059" s="27">
        <v>0.42499999999999999</v>
      </c>
      <c r="H1059" s="27">
        <v>31.413</v>
      </c>
      <c r="M1059"/>
    </row>
    <row r="1060" spans="2:13">
      <c r="B1060" s="26">
        <v>15588</v>
      </c>
      <c r="C1060" s="28" t="s">
        <v>349</v>
      </c>
      <c r="D1060" s="28" t="s">
        <v>260</v>
      </c>
      <c r="E1060" s="27">
        <v>259.11144000000002</v>
      </c>
      <c r="F1060" s="27">
        <v>10.956099999999999</v>
      </c>
      <c r="G1060" s="27">
        <v>32.3889</v>
      </c>
      <c r="H1060" s="27">
        <v>2393.9643999999998</v>
      </c>
      <c r="M1060"/>
    </row>
    <row r="1061" spans="2:13">
      <c r="B1061" s="26">
        <v>15589</v>
      </c>
      <c r="C1061" s="28" t="s">
        <v>350</v>
      </c>
      <c r="D1061" s="28" t="s">
        <v>260</v>
      </c>
      <c r="E1061" s="27">
        <v>314.29257999999999</v>
      </c>
      <c r="F1061" s="27">
        <v>13.289300000000001</v>
      </c>
      <c r="G1061" s="27">
        <v>39.2866</v>
      </c>
      <c r="H1061" s="27">
        <v>2903.7901000000002</v>
      </c>
      <c r="M1061"/>
    </row>
    <row r="1062" spans="2:13">
      <c r="B1062" s="26">
        <v>15590</v>
      </c>
      <c r="C1062" s="28" t="s">
        <v>351</v>
      </c>
      <c r="D1062" s="28" t="s">
        <v>260</v>
      </c>
      <c r="E1062" s="27">
        <v>299.89999999999998</v>
      </c>
      <c r="F1062" s="27">
        <v>12.6808</v>
      </c>
      <c r="G1062" s="27">
        <v>37.487499999999997</v>
      </c>
      <c r="H1062" s="27">
        <v>2770.8152</v>
      </c>
      <c r="M1062"/>
    </row>
    <row r="1063" spans="2:13">
      <c r="B1063" s="26">
        <v>15591</v>
      </c>
      <c r="C1063" s="28" t="s">
        <v>352</v>
      </c>
      <c r="D1063" s="28" t="s">
        <v>260</v>
      </c>
      <c r="E1063" s="27">
        <v>299.89999999999998</v>
      </c>
      <c r="F1063" s="27">
        <v>12.6808</v>
      </c>
      <c r="G1063" s="27">
        <v>37.487499999999997</v>
      </c>
      <c r="H1063" s="27">
        <v>2770.8152</v>
      </c>
      <c r="M1063"/>
    </row>
    <row r="1064" spans="2:13">
      <c r="B1064" s="26">
        <v>15592</v>
      </c>
      <c r="C1064" s="28" t="s">
        <v>353</v>
      </c>
      <c r="D1064" s="28" t="s">
        <v>260</v>
      </c>
      <c r="E1064" s="27">
        <v>299.89999999999998</v>
      </c>
      <c r="F1064" s="27">
        <v>12.6808</v>
      </c>
      <c r="G1064" s="27">
        <v>37.487499999999997</v>
      </c>
      <c r="H1064" s="27">
        <v>2770.8152</v>
      </c>
      <c r="M1064"/>
    </row>
    <row r="1065" spans="2:13">
      <c r="B1065" s="26">
        <v>15593</v>
      </c>
      <c r="C1065" s="28" t="s">
        <v>354</v>
      </c>
      <c r="D1065" s="28" t="s">
        <v>260</v>
      </c>
      <c r="E1065" s="27">
        <v>299.89999999999998</v>
      </c>
      <c r="F1065" s="27">
        <v>12.6808</v>
      </c>
      <c r="G1065" s="27">
        <v>37.487499999999997</v>
      </c>
      <c r="H1065" s="27">
        <v>2770.8152</v>
      </c>
      <c r="M1065"/>
    </row>
    <row r="1066" spans="2:13">
      <c r="B1066" s="26">
        <v>15594</v>
      </c>
      <c r="C1066" s="28" t="s">
        <v>355</v>
      </c>
      <c r="D1066" s="28" t="s">
        <v>260</v>
      </c>
      <c r="E1066" s="27">
        <v>299.89999999999998</v>
      </c>
      <c r="F1066" s="27">
        <v>12.6808</v>
      </c>
      <c r="G1066" s="27">
        <v>37.487499999999997</v>
      </c>
      <c r="H1066" s="27">
        <v>2770.8152</v>
      </c>
      <c r="M1066"/>
    </row>
    <row r="1067" spans="2:13">
      <c r="B1067" s="26">
        <v>15595</v>
      </c>
      <c r="C1067" s="28" t="s">
        <v>356</v>
      </c>
      <c r="D1067" s="28" t="s">
        <v>260</v>
      </c>
      <c r="E1067" s="27">
        <v>13.4</v>
      </c>
      <c r="F1067" s="27">
        <v>0.56659999999999999</v>
      </c>
      <c r="G1067" s="27">
        <v>1.675</v>
      </c>
      <c r="H1067" s="27">
        <v>123.8044</v>
      </c>
      <c r="M1067"/>
    </row>
    <row r="1068" spans="2:13">
      <c r="B1068" s="26">
        <v>15596</v>
      </c>
      <c r="C1068" s="28" t="s">
        <v>357</v>
      </c>
      <c r="D1068" s="28" t="s">
        <v>260</v>
      </c>
      <c r="E1068" s="27">
        <v>11.9</v>
      </c>
      <c r="F1068" s="27">
        <v>0.50319999999999998</v>
      </c>
      <c r="G1068" s="27">
        <v>1.4875</v>
      </c>
      <c r="H1068" s="27">
        <v>109.9457</v>
      </c>
      <c r="M1068"/>
    </row>
    <row r="1069" spans="2:13">
      <c r="B1069" s="26">
        <v>15597</v>
      </c>
      <c r="C1069" s="28" t="s">
        <v>358</v>
      </c>
      <c r="D1069" s="28" t="s">
        <v>260</v>
      </c>
      <c r="E1069" s="27">
        <v>11.423999999999999</v>
      </c>
      <c r="F1069" s="27">
        <v>0.48299999999999998</v>
      </c>
      <c r="G1069" s="27">
        <v>1.4279999999999999</v>
      </c>
      <c r="H1069" s="27">
        <v>105.5478</v>
      </c>
      <c r="M1069"/>
    </row>
    <row r="1070" spans="2:13">
      <c r="B1070" s="26">
        <v>15598</v>
      </c>
      <c r="C1070" s="28" t="s">
        <v>359</v>
      </c>
      <c r="D1070" s="28" t="s">
        <v>260</v>
      </c>
      <c r="E1070" s="27">
        <v>0.52359999999999995</v>
      </c>
      <c r="F1070" s="27">
        <v>2.2100000000000002E-2</v>
      </c>
      <c r="G1070" s="27">
        <v>6.5500000000000003E-2</v>
      </c>
      <c r="H1070" s="27">
        <v>4.8376000000000001</v>
      </c>
      <c r="M1070"/>
    </row>
    <row r="1071" spans="2:13">
      <c r="B1071" s="26">
        <v>15599</v>
      </c>
      <c r="C1071" s="28" t="s">
        <v>360</v>
      </c>
      <c r="D1071" s="28" t="s">
        <v>260</v>
      </c>
      <c r="E1071" s="27">
        <v>0.80920000000000003</v>
      </c>
      <c r="F1071" s="27">
        <v>3.4200000000000001E-2</v>
      </c>
      <c r="G1071" s="27">
        <v>0.1012</v>
      </c>
      <c r="H1071" s="27">
        <v>7.4763000000000002</v>
      </c>
      <c r="M1071"/>
    </row>
  </sheetData>
  <sheetProtection password="993C" sheet="1" objects="1" scenarios="1"/>
  <mergeCells count="340">
    <mergeCell ref="C61:D61"/>
    <mergeCell ref="C85:D85"/>
    <mergeCell ref="C86:D86"/>
    <mergeCell ref="C87:D87"/>
    <mergeCell ref="C80:D80"/>
    <mergeCell ref="E61:F61"/>
    <mergeCell ref="G61:H61"/>
    <mergeCell ref="I61:J61"/>
    <mergeCell ref="K61:L61"/>
    <mergeCell ref="E62:F62"/>
    <mergeCell ref="I66:J66"/>
    <mergeCell ref="K66:L66"/>
    <mergeCell ref="I67:J67"/>
    <mergeCell ref="K67:L67"/>
    <mergeCell ref="I74:J74"/>
    <mergeCell ref="K74:L74"/>
    <mergeCell ref="I68:J68"/>
    <mergeCell ref="K68:L68"/>
    <mergeCell ref="I71:J71"/>
    <mergeCell ref="K71:L71"/>
    <mergeCell ref="E69:F69"/>
    <mergeCell ref="G69:H69"/>
    <mergeCell ref="I69:J69"/>
    <mergeCell ref="K69:L69"/>
    <mergeCell ref="E4:F4"/>
    <mergeCell ref="G4:H4"/>
    <mergeCell ref="I4:J4"/>
    <mergeCell ref="K4:L4"/>
    <mergeCell ref="E51:F51"/>
    <mergeCell ref="G51:H51"/>
    <mergeCell ref="I54:J54"/>
    <mergeCell ref="K54:L54"/>
    <mergeCell ref="E59:F59"/>
    <mergeCell ref="G59:H59"/>
    <mergeCell ref="I59:J59"/>
    <mergeCell ref="K59:L59"/>
    <mergeCell ref="I51:J51"/>
    <mergeCell ref="K51:L51"/>
    <mergeCell ref="E52:F52"/>
    <mergeCell ref="E57:F57"/>
    <mergeCell ref="G57:H57"/>
    <mergeCell ref="E58:F58"/>
    <mergeCell ref="G58:H58"/>
    <mergeCell ref="I58:J58"/>
    <mergeCell ref="K58:L58"/>
    <mergeCell ref="I57:J57"/>
    <mergeCell ref="K57:L57"/>
    <mergeCell ref="G52:H52"/>
    <mergeCell ref="I52:J52"/>
    <mergeCell ref="K52:L52"/>
    <mergeCell ref="E55:F55"/>
    <mergeCell ref="G55:H55"/>
    <mergeCell ref="I55:J55"/>
    <mergeCell ref="K55:L55"/>
    <mergeCell ref="E54:F54"/>
    <mergeCell ref="G54:H54"/>
    <mergeCell ref="E53:F53"/>
    <mergeCell ref="G53:H53"/>
    <mergeCell ref="I53:J53"/>
    <mergeCell ref="K53:L53"/>
    <mergeCell ref="E56:F56"/>
    <mergeCell ref="G56:H56"/>
    <mergeCell ref="I56:J56"/>
    <mergeCell ref="K56:L56"/>
    <mergeCell ref="E60:F60"/>
    <mergeCell ref="G62:H62"/>
    <mergeCell ref="I62:J62"/>
    <mergeCell ref="K62:L62"/>
    <mergeCell ref="G60:H60"/>
    <mergeCell ref="I60:J60"/>
    <mergeCell ref="K60:L60"/>
    <mergeCell ref="E70:F70"/>
    <mergeCell ref="G70:H70"/>
    <mergeCell ref="I70:J70"/>
    <mergeCell ref="K70:L70"/>
    <mergeCell ref="I65:J65"/>
    <mergeCell ref="K65:L65"/>
    <mergeCell ref="E63:F63"/>
    <mergeCell ref="G63:H63"/>
    <mergeCell ref="I63:J63"/>
    <mergeCell ref="K63:L63"/>
    <mergeCell ref="I64:J64"/>
    <mergeCell ref="K64:L64"/>
    <mergeCell ref="E68:F68"/>
    <mergeCell ref="G68:H68"/>
    <mergeCell ref="E64:F64"/>
    <mergeCell ref="G64:H64"/>
    <mergeCell ref="E66:F66"/>
    <mergeCell ref="E67:F67"/>
    <mergeCell ref="E65:F65"/>
    <mergeCell ref="G65:H65"/>
    <mergeCell ref="G66:H66"/>
    <mergeCell ref="G67:H67"/>
    <mergeCell ref="E79:F79"/>
    <mergeCell ref="G79:H79"/>
    <mergeCell ref="I79:J79"/>
    <mergeCell ref="K79:L79"/>
    <mergeCell ref="I75:J75"/>
    <mergeCell ref="K75:L75"/>
    <mergeCell ref="E72:F72"/>
    <mergeCell ref="G72:H72"/>
    <mergeCell ref="I72:J72"/>
    <mergeCell ref="K72:L72"/>
    <mergeCell ref="E73:F73"/>
    <mergeCell ref="G73:H73"/>
    <mergeCell ref="I73:J73"/>
    <mergeCell ref="K73:L73"/>
    <mergeCell ref="E74:F74"/>
    <mergeCell ref="G74:H74"/>
    <mergeCell ref="E75:F75"/>
    <mergeCell ref="G75:H75"/>
    <mergeCell ref="E76:F76"/>
    <mergeCell ref="G76:H76"/>
    <mergeCell ref="I76:J76"/>
    <mergeCell ref="K76:L76"/>
    <mergeCell ref="E77:F77"/>
    <mergeCell ref="G77:H77"/>
    <mergeCell ref="E80:F80"/>
    <mergeCell ref="G80:H80"/>
    <mergeCell ref="I80:J80"/>
    <mergeCell ref="K80:L80"/>
    <mergeCell ref="E81:F81"/>
    <mergeCell ref="G81:H81"/>
    <mergeCell ref="I81:J81"/>
    <mergeCell ref="K81:L81"/>
    <mergeCell ref="E82:F82"/>
    <mergeCell ref="G82:H82"/>
    <mergeCell ref="K83:L83"/>
    <mergeCell ref="E84:F84"/>
    <mergeCell ref="G84:H84"/>
    <mergeCell ref="I84:J84"/>
    <mergeCell ref="K84:L84"/>
    <mergeCell ref="E85:F85"/>
    <mergeCell ref="G85:H85"/>
    <mergeCell ref="I82:J82"/>
    <mergeCell ref="K82:L82"/>
    <mergeCell ref="C4:D4"/>
    <mergeCell ref="C51:D51"/>
    <mergeCell ref="C52:D52"/>
    <mergeCell ref="C54:D54"/>
    <mergeCell ref="C55:D55"/>
    <mergeCell ref="C56:D56"/>
    <mergeCell ref="C53:D53"/>
    <mergeCell ref="C57:D57"/>
    <mergeCell ref="I118:J118"/>
    <mergeCell ref="C59:D59"/>
    <mergeCell ref="C60:D60"/>
    <mergeCell ref="C62:D62"/>
    <mergeCell ref="C63:D63"/>
    <mergeCell ref="C58:D58"/>
    <mergeCell ref="I99:J99"/>
    <mergeCell ref="G95:H95"/>
    <mergeCell ref="I95:J95"/>
    <mergeCell ref="I91:J91"/>
    <mergeCell ref="E91:F91"/>
    <mergeCell ref="E93:F93"/>
    <mergeCell ref="G93:H93"/>
    <mergeCell ref="C64:D64"/>
    <mergeCell ref="C65:D65"/>
    <mergeCell ref="C68:D68"/>
    <mergeCell ref="G106:H106"/>
    <mergeCell ref="K107:L107"/>
    <mergeCell ref="I106:J106"/>
    <mergeCell ref="E111:F111"/>
    <mergeCell ref="G111:H111"/>
    <mergeCell ref="I111:J111"/>
    <mergeCell ref="K111:L111"/>
    <mergeCell ref="E112:F112"/>
    <mergeCell ref="G112:H112"/>
    <mergeCell ref="I112:J112"/>
    <mergeCell ref="K106:L106"/>
    <mergeCell ref="G109:H109"/>
    <mergeCell ref="I109:J109"/>
    <mergeCell ref="K109:L109"/>
    <mergeCell ref="E110:F110"/>
    <mergeCell ref="G110:H110"/>
    <mergeCell ref="I110:J110"/>
    <mergeCell ref="K110:L110"/>
    <mergeCell ref="K112:L112"/>
    <mergeCell ref="G108:H108"/>
    <mergeCell ref="I108:J108"/>
    <mergeCell ref="I93:J93"/>
    <mergeCell ref="K93:L93"/>
    <mergeCell ref="E94:F94"/>
    <mergeCell ref="K99:L99"/>
    <mergeCell ref="I97:J97"/>
    <mergeCell ref="K97:L97"/>
    <mergeCell ref="E98:F98"/>
    <mergeCell ref="G98:H98"/>
    <mergeCell ref="I98:J98"/>
    <mergeCell ref="K98:L98"/>
    <mergeCell ref="K95:L95"/>
    <mergeCell ref="E96:F96"/>
    <mergeCell ref="G96:H96"/>
    <mergeCell ref="I96:J96"/>
    <mergeCell ref="K96:L96"/>
    <mergeCell ref="I102:J102"/>
    <mergeCell ref="K102:L102"/>
    <mergeCell ref="G104:H104"/>
    <mergeCell ref="I104:J104"/>
    <mergeCell ref="I94:J94"/>
    <mergeCell ref="K94:L94"/>
    <mergeCell ref="E95:F95"/>
    <mergeCell ref="K104:L104"/>
    <mergeCell ref="G94:H94"/>
    <mergeCell ref="G97:H97"/>
    <mergeCell ref="G105:H105"/>
    <mergeCell ref="I105:J105"/>
    <mergeCell ref="K105:L105"/>
    <mergeCell ref="C79:D79"/>
    <mergeCell ref="C75:D75"/>
    <mergeCell ref="C76:D76"/>
    <mergeCell ref="C77:D77"/>
    <mergeCell ref="C78:D78"/>
    <mergeCell ref="C84:D84"/>
    <mergeCell ref="I103:J103"/>
    <mergeCell ref="E101:F101"/>
    <mergeCell ref="E99:F99"/>
    <mergeCell ref="E97:F97"/>
    <mergeCell ref="K103:L103"/>
    <mergeCell ref="E104:F104"/>
    <mergeCell ref="E100:F100"/>
    <mergeCell ref="G100:H100"/>
    <mergeCell ref="I100:J100"/>
    <mergeCell ref="K100:L100"/>
    <mergeCell ref="E103:F103"/>
    <mergeCell ref="I101:J101"/>
    <mergeCell ref="K101:L101"/>
    <mergeCell ref="E102:F102"/>
    <mergeCell ref="G102:H102"/>
    <mergeCell ref="G87:H87"/>
    <mergeCell ref="I87:J87"/>
    <mergeCell ref="K87:L87"/>
    <mergeCell ref="E88:F88"/>
    <mergeCell ref="G88:H88"/>
    <mergeCell ref="I88:J88"/>
    <mergeCell ref="E71:F71"/>
    <mergeCell ref="G71:H71"/>
    <mergeCell ref="K88:L88"/>
    <mergeCell ref="I78:J78"/>
    <mergeCell ref="K78:L78"/>
    <mergeCell ref="I77:J77"/>
    <mergeCell ref="K77:L77"/>
    <mergeCell ref="E78:F78"/>
    <mergeCell ref="G78:H78"/>
    <mergeCell ref="I85:J85"/>
    <mergeCell ref="K85:L85"/>
    <mergeCell ref="E86:F86"/>
    <mergeCell ref="G86:H86"/>
    <mergeCell ref="I86:J86"/>
    <mergeCell ref="K86:L86"/>
    <mergeCell ref="E83:F83"/>
    <mergeCell ref="G83:H83"/>
    <mergeCell ref="I83:J83"/>
    <mergeCell ref="K91:L91"/>
    <mergeCell ref="E92:F92"/>
    <mergeCell ref="G92:H92"/>
    <mergeCell ref="I92:J92"/>
    <mergeCell ref="K92:L92"/>
    <mergeCell ref="I89:J89"/>
    <mergeCell ref="K89:L89"/>
    <mergeCell ref="E90:F90"/>
    <mergeCell ref="G90:H90"/>
    <mergeCell ref="I90:J90"/>
    <mergeCell ref="K90:L90"/>
    <mergeCell ref="G91:H91"/>
    <mergeCell ref="E89:F89"/>
    <mergeCell ref="G89:H89"/>
    <mergeCell ref="C109:D109"/>
    <mergeCell ref="C110:D110"/>
    <mergeCell ref="C111:D111"/>
    <mergeCell ref="C112:D112"/>
    <mergeCell ref="C66:D66"/>
    <mergeCell ref="C67:D67"/>
    <mergeCell ref="C69:D69"/>
    <mergeCell ref="E108:F108"/>
    <mergeCell ref="C95:D95"/>
    <mergeCell ref="C96:D96"/>
    <mergeCell ref="C99:D99"/>
    <mergeCell ref="C100:D100"/>
    <mergeCell ref="C94:D94"/>
    <mergeCell ref="C70:D70"/>
    <mergeCell ref="C72:D72"/>
    <mergeCell ref="C73:D73"/>
    <mergeCell ref="C71:D71"/>
    <mergeCell ref="C74:D74"/>
    <mergeCell ref="E87:F87"/>
    <mergeCell ref="C81:D81"/>
    <mergeCell ref="C82:D82"/>
    <mergeCell ref="C83:D83"/>
    <mergeCell ref="E105:F105"/>
    <mergeCell ref="E106:F106"/>
    <mergeCell ref="G121:H121"/>
    <mergeCell ref="I121:J121"/>
    <mergeCell ref="K118:L118"/>
    <mergeCell ref="C124:D124"/>
    <mergeCell ref="E124:F124"/>
    <mergeCell ref="G107:H107"/>
    <mergeCell ref="E123:F123"/>
    <mergeCell ref="E121:F121"/>
    <mergeCell ref="E122:F122"/>
    <mergeCell ref="I123:J123"/>
    <mergeCell ref="K121:L121"/>
    <mergeCell ref="G122:H122"/>
    <mergeCell ref="I122:J122"/>
    <mergeCell ref="K122:L122"/>
    <mergeCell ref="G123:H123"/>
    <mergeCell ref="K124:L124"/>
    <mergeCell ref="G124:H124"/>
    <mergeCell ref="I124:J124"/>
    <mergeCell ref="E107:F107"/>
    <mergeCell ref="I107:J107"/>
    <mergeCell ref="E118:F118"/>
    <mergeCell ref="G118:H118"/>
    <mergeCell ref="C107:D107"/>
    <mergeCell ref="C108:D108"/>
    <mergeCell ref="K123:L123"/>
    <mergeCell ref="C121:D121"/>
    <mergeCell ref="C118:D118"/>
    <mergeCell ref="K108:L108"/>
    <mergeCell ref="E109:F109"/>
    <mergeCell ref="C88:D88"/>
    <mergeCell ref="C89:D89"/>
    <mergeCell ref="C90:D90"/>
    <mergeCell ref="C91:D91"/>
    <mergeCell ref="C92:D92"/>
    <mergeCell ref="C93:D93"/>
    <mergeCell ref="C106:D106"/>
    <mergeCell ref="C101:D101"/>
    <mergeCell ref="C102:D102"/>
    <mergeCell ref="C103:D103"/>
    <mergeCell ref="C98:D98"/>
    <mergeCell ref="G103:H103"/>
    <mergeCell ref="G101:H101"/>
    <mergeCell ref="G99:H99"/>
    <mergeCell ref="C97:D97"/>
    <mergeCell ref="C104:D104"/>
    <mergeCell ref="C105:D105"/>
    <mergeCell ref="C123:D123"/>
    <mergeCell ref="C122:D122"/>
  </mergeCells>
  <dataValidations disablePrompts="1" count="1">
    <dataValidation type="list" allowBlank="1" showInputMessage="1" showErrorMessage="1" sqref="C1" xr:uid="{CD6933D0-DD94-4F9C-9314-482CC90C89BE}">
      <formula1>$E$1:$L$1</formula1>
    </dataValidation>
  </dataValidations>
  <hyperlinks>
    <hyperlink ref="P272" r:id="rId1" xr:uid="{1A8B859B-089D-4160-91F2-C8318A96EAB8}"/>
    <hyperlink ref="O272" r:id="rId2" xr:uid="{10C88E70-70DE-4E64-AFA7-ECDDE950D65A}"/>
    <hyperlink ref="N272" r:id="rId3" xr:uid="{202A2EB4-1FDF-4DF9-9ADA-A084347E4BF2}"/>
    <hyperlink ref="M272" r:id="rId4" xr:uid="{6E81F0F7-28AD-4830-BC33-84CDD0392802}"/>
  </hyperlinks>
  <pageMargins left="0.7" right="0.7" top="0.78740157499999996" bottom="0.78740157499999996" header="0.3" footer="0.3"/>
  <pageSetup paperSize="9" orientation="portrait"/>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Z64"/>
  <sheetViews>
    <sheetView showGridLines="0" showRowColHeaders="0" workbookViewId="0">
      <selection activeCell="I8" sqref="I8:N8"/>
    </sheetView>
  </sheetViews>
  <sheetFormatPr defaultColWidth="0" defaultRowHeight="14.85" customHeight="1" zeroHeight="1"/>
  <cols>
    <col min="1" max="3" width="8.5703125" style="445" customWidth="1"/>
    <col min="4" max="4" width="6.5703125" style="445" customWidth="1"/>
    <col min="5" max="16" width="8.5703125" style="445" customWidth="1"/>
    <col min="17" max="17" width="6.5703125" style="445" customWidth="1"/>
    <col min="18" max="20" width="8.5703125" style="445" customWidth="1"/>
    <col min="21" max="21" width="17.5703125" style="445" hidden="1" customWidth="1"/>
    <col min="22" max="26" width="8.5703125" style="445" hidden="1" customWidth="1"/>
    <col min="27" max="16384" width="8.5703125" style="445" hidden="1"/>
  </cols>
  <sheetData>
    <row r="1" spans="1:26" ht="15">
      <c r="A1" s="324"/>
      <c r="B1" s="324"/>
      <c r="C1" s="324"/>
      <c r="D1" s="324"/>
      <c r="E1" s="324"/>
      <c r="F1" s="324"/>
      <c r="G1" s="324"/>
      <c r="H1" s="324"/>
      <c r="I1" s="324"/>
      <c r="J1" s="324"/>
      <c r="K1" s="324"/>
      <c r="L1" s="324"/>
      <c r="M1" s="324"/>
      <c r="N1" s="324"/>
      <c r="O1" s="324"/>
      <c r="P1" s="1"/>
      <c r="Q1" s="1"/>
      <c r="R1" s="1"/>
      <c r="S1" s="1"/>
      <c r="T1" s="1"/>
    </row>
    <row r="2" spans="1:26" ht="15">
      <c r="A2" s="325"/>
      <c r="B2" s="325"/>
      <c r="C2" s="325"/>
      <c r="D2" s="325"/>
      <c r="E2" s="325"/>
      <c r="F2" s="325"/>
      <c r="G2" s="325"/>
      <c r="H2" s="325"/>
      <c r="I2" s="325"/>
      <c r="J2" s="325"/>
      <c r="K2" s="325"/>
      <c r="L2" s="325"/>
      <c r="M2" s="325"/>
      <c r="N2" s="325"/>
      <c r="O2" s="325"/>
      <c r="P2" s="270"/>
      <c r="Q2" s="579" t="str">
        <f>'Translate&amp;Prices&amp;Logo'!$B$540</f>
        <v>Úvod</v>
      </c>
      <c r="R2" s="580"/>
      <c r="S2" s="580"/>
      <c r="T2" s="580"/>
    </row>
    <row r="3" spans="1:26" ht="15">
      <c r="A3" s="325"/>
      <c r="B3" s="325"/>
      <c r="C3" s="325"/>
      <c r="D3" s="325"/>
      <c r="E3" s="325"/>
      <c r="F3" s="325"/>
      <c r="G3" s="325"/>
      <c r="H3" s="325"/>
      <c r="I3" s="325"/>
      <c r="J3" s="325"/>
      <c r="K3" s="325"/>
      <c r="L3" s="325"/>
      <c r="M3" s="325"/>
      <c r="N3" s="325"/>
      <c r="O3" s="325"/>
      <c r="P3" s="270"/>
      <c r="Q3" s="579"/>
      <c r="R3" s="580"/>
      <c r="S3" s="580"/>
      <c r="T3" s="580"/>
      <c r="W3" s="445" t="e">
        <f>VLOOKUP(I24,V5:W7,2,0)</f>
        <v>#N/A</v>
      </c>
    </row>
    <row r="4" spans="1:26" ht="15">
      <c r="A4" s="324"/>
      <c r="B4" s="324"/>
      <c r="C4" s="324"/>
      <c r="D4" s="324"/>
      <c r="E4" s="324"/>
      <c r="F4" s="324"/>
      <c r="G4" s="324"/>
      <c r="H4" s="324"/>
      <c r="I4" s="324"/>
      <c r="J4" s="1"/>
      <c r="K4" s="1"/>
      <c r="L4" s="1"/>
      <c r="M4" s="1"/>
      <c r="N4" s="1"/>
      <c r="O4" s="1"/>
      <c r="P4" s="1"/>
      <c r="Q4" s="1"/>
      <c r="R4" s="1"/>
      <c r="S4" s="1"/>
      <c r="T4" s="1"/>
    </row>
    <row r="5" spans="1:26" ht="14.85" customHeight="1">
      <c r="A5" s="1"/>
      <c r="B5" s="1"/>
      <c r="C5" s="1"/>
      <c r="D5" s="1"/>
      <c r="E5" s="1"/>
      <c r="F5" s="1"/>
      <c r="G5" s="1"/>
      <c r="H5" s="1"/>
      <c r="I5" s="1"/>
      <c r="J5" s="1"/>
      <c r="K5" s="1"/>
      <c r="L5" s="1"/>
      <c r="M5" s="1"/>
      <c r="N5" s="1"/>
      <c r="O5" s="1"/>
      <c r="P5" s="1"/>
      <c r="Q5" s="1"/>
      <c r="R5" s="1"/>
      <c r="S5" s="1"/>
      <c r="T5" s="1"/>
      <c r="V5" s="445" t="str">
        <f>'Translate&amp;Prices&amp;Logo'!B638</f>
        <v>Bez úprav</v>
      </c>
      <c r="W5" s="445">
        <v>1</v>
      </c>
    </row>
    <row r="6" spans="1:26" ht="14.85" customHeight="1">
      <c r="A6" s="1"/>
      <c r="B6" s="1"/>
      <c r="C6" s="1"/>
      <c r="D6" s="1"/>
      <c r="E6" s="1"/>
      <c r="F6" s="1"/>
      <c r="G6" s="1"/>
      <c r="H6" s="1"/>
      <c r="I6" s="1"/>
      <c r="J6" s="1"/>
      <c r="K6" s="1"/>
      <c r="L6" s="1"/>
      <c r="M6" s="1"/>
      <c r="N6" s="1"/>
      <c r="O6" s="1"/>
      <c r="P6" s="1"/>
      <c r="Q6" s="1"/>
      <c r="R6" s="1"/>
      <c r="S6" s="1"/>
      <c r="T6" s="1"/>
      <c r="V6" s="445" t="str">
        <f>'Translate&amp;Prices&amp;Logo'!B639</f>
        <v>Kalené (termín dodání 3 týdny)</v>
      </c>
      <c r="W6" s="445">
        <v>2</v>
      </c>
    </row>
    <row r="7" spans="1:26" ht="14.85" customHeight="1">
      <c r="A7" s="1"/>
      <c r="B7" s="1"/>
      <c r="C7" s="1"/>
      <c r="D7" s="1"/>
      <c r="E7" s="1"/>
      <c r="F7" s="1"/>
      <c r="G7" s="1"/>
      <c r="H7" s="1"/>
      <c r="I7" s="1"/>
      <c r="J7" s="1"/>
      <c r="K7" s="1"/>
      <c r="L7" s="1"/>
      <c r="M7" s="1"/>
      <c r="N7" s="1"/>
      <c r="O7" s="1"/>
      <c r="P7" s="1"/>
      <c r="Q7" s="1"/>
      <c r="R7" s="1"/>
      <c r="S7" s="1"/>
      <c r="T7" s="1"/>
      <c r="V7" s="445" t="str">
        <f>'Translate&amp;Prices&amp;Logo'!B640</f>
        <v>Folie</v>
      </c>
      <c r="W7" s="445">
        <v>3</v>
      </c>
      <c r="Z7" s="445" t="e">
        <f t="array" ref="Z7:Z64">IF(W3=1,_N1,IF(W3=2,_N2,IF(W3=3,_N3)))</f>
        <v>#N/A</v>
      </c>
    </row>
    <row r="8" spans="1:26" ht="14.85" customHeight="1">
      <c r="A8" s="1"/>
      <c r="B8" s="1"/>
      <c r="C8" s="583" t="str">
        <f>'Translate&amp;Prices&amp;Logo'!$B$249</f>
        <v>Zákazník</v>
      </c>
      <c r="D8" s="583"/>
      <c r="E8" s="583"/>
      <c r="F8" s="583"/>
      <c r="G8" s="583"/>
      <c r="H8" s="321"/>
      <c r="I8" s="578"/>
      <c r="J8" s="578"/>
      <c r="K8" s="578"/>
      <c r="L8" s="578"/>
      <c r="M8" s="578"/>
      <c r="N8" s="578"/>
      <c r="S8" s="1"/>
      <c r="T8" s="1"/>
      <c r="Z8" s="445" t="e">
        <v>#N/A</v>
      </c>
    </row>
    <row r="9" spans="1:26" ht="14.85" customHeight="1">
      <c r="A9" s="1"/>
      <c r="B9" s="1"/>
      <c r="C9" s="1"/>
      <c r="D9" s="1"/>
      <c r="E9" s="1"/>
      <c r="F9" s="1"/>
      <c r="G9" s="1"/>
      <c r="H9" s="1"/>
      <c r="I9" s="1"/>
      <c r="J9" s="1"/>
      <c r="K9" s="1"/>
      <c r="L9" s="1"/>
      <c r="M9" s="1"/>
      <c r="N9" s="1"/>
      <c r="S9" s="1"/>
      <c r="T9" s="1"/>
      <c r="U9" s="445" t="e">
        <f>IF(W3=2,'Translate&amp;Prices&amp;Logo'!C94,0)</f>
        <v>#N/A</v>
      </c>
      <c r="V9" s="445" t="s">
        <v>3160</v>
      </c>
      <c r="Z9" s="445" t="e">
        <v>#N/A</v>
      </c>
    </row>
    <row r="10" spans="1:26" ht="14.85" customHeight="1">
      <c r="A10" s="1"/>
      <c r="B10" s="1"/>
      <c r="C10" s="583" t="str">
        <f>'Translate&amp;Prices&amp;Logo'!$B$253</f>
        <v>IČ:</v>
      </c>
      <c r="D10" s="583"/>
      <c r="E10" s="583"/>
      <c r="F10" s="583"/>
      <c r="G10" s="583"/>
      <c r="H10" s="321"/>
      <c r="I10" s="578"/>
      <c r="J10" s="578"/>
      <c r="K10" s="578"/>
      <c r="L10" s="578"/>
      <c r="M10" s="578"/>
      <c r="N10" s="578"/>
      <c r="S10" s="1"/>
      <c r="T10" s="1"/>
      <c r="U10" s="445">
        <f>IFERROR(IF(W3=3,(VLOOKUP(I27,'Translate&amp;Prices&amp;Logo'!B91:C93,2,0))*((I21/1000)*(I22/1000)),0),0)</f>
        <v>0</v>
      </c>
      <c r="V10" s="445" t="s">
        <v>3161</v>
      </c>
      <c r="Z10" s="445" t="e">
        <v>#N/A</v>
      </c>
    </row>
    <row r="11" spans="1:26" ht="14.85" customHeight="1">
      <c r="A11" s="1"/>
      <c r="B11" s="1"/>
      <c r="C11" s="1"/>
      <c r="D11" s="1"/>
      <c r="E11" s="1"/>
      <c r="F11" s="1"/>
      <c r="G11" s="1"/>
      <c r="H11" s="1"/>
      <c r="I11" s="1"/>
      <c r="J11" s="1"/>
      <c r="K11" s="1"/>
      <c r="L11" s="1"/>
      <c r="M11" s="1"/>
      <c r="N11" s="1"/>
      <c r="S11" s="1"/>
      <c r="T11" s="1"/>
      <c r="Z11" s="445" t="e">
        <v>#N/A</v>
      </c>
    </row>
    <row r="12" spans="1:26" ht="14.85" customHeight="1">
      <c r="A12" s="1"/>
      <c r="B12" s="1"/>
      <c r="C12" s="583" t="str">
        <f>'Translate&amp;Prices&amp;Logo'!$B$250</f>
        <v>Kontaktní tel.</v>
      </c>
      <c r="D12" s="583"/>
      <c r="E12" s="583"/>
      <c r="F12" s="583"/>
      <c r="G12" s="583"/>
      <c r="H12" s="321"/>
      <c r="I12" s="578"/>
      <c r="J12" s="578"/>
      <c r="K12" s="578"/>
      <c r="L12" s="578"/>
      <c r="M12" s="578"/>
      <c r="N12" s="578"/>
      <c r="S12" s="1"/>
      <c r="T12" s="1"/>
      <c r="V12" s="445" t="str">
        <f>'Translate&amp;Prices&amp;Logo'!B95</f>
        <v>Lesk</v>
      </c>
      <c r="Z12" s="445" t="e">
        <v>#N/A</v>
      </c>
    </row>
    <row r="13" spans="1:26" ht="14.85" customHeight="1">
      <c r="A13" s="1"/>
      <c r="B13" s="1"/>
      <c r="C13" s="1"/>
      <c r="D13" s="1"/>
      <c r="E13" s="1"/>
      <c r="F13" s="1"/>
      <c r="G13" s="1"/>
      <c r="H13" s="1"/>
      <c r="I13" s="1"/>
      <c r="J13" s="1"/>
      <c r="K13" s="1"/>
      <c r="L13" s="1"/>
      <c r="M13" s="1"/>
      <c r="N13" s="1"/>
      <c r="S13" s="1"/>
      <c r="T13" s="1"/>
      <c r="V13" s="445" t="str">
        <f>'Translate&amp;Prices&amp;Logo'!B96</f>
        <v>Mat</v>
      </c>
      <c r="Z13" s="445" t="e">
        <v>#N/A</v>
      </c>
    </row>
    <row r="14" spans="1:26" ht="14.85" customHeight="1">
      <c r="A14" s="1"/>
      <c r="B14" s="1"/>
      <c r="C14" s="583" t="str">
        <f>'Translate&amp;Prices&amp;Logo'!$B$251</f>
        <v>Kontaktní e-mail</v>
      </c>
      <c r="D14" s="583"/>
      <c r="E14" s="583"/>
      <c r="F14" s="583"/>
      <c r="G14" s="583"/>
      <c r="H14" s="321"/>
      <c r="I14" s="578"/>
      <c r="J14" s="578"/>
      <c r="K14" s="578"/>
      <c r="L14" s="578"/>
      <c r="M14" s="578"/>
      <c r="N14" s="578"/>
      <c r="S14" s="1"/>
      <c r="T14" s="1"/>
      <c r="Z14" s="445" t="e">
        <v>#N/A</v>
      </c>
    </row>
    <row r="15" spans="1:26" ht="14.85" customHeight="1">
      <c r="A15" s="1"/>
      <c r="B15" s="1"/>
      <c r="C15" s="1"/>
      <c r="D15" s="1"/>
      <c r="E15" s="1"/>
      <c r="F15" s="1"/>
      <c r="G15" s="1"/>
      <c r="H15" s="1"/>
      <c r="I15" s="1"/>
      <c r="J15" s="1"/>
      <c r="K15" s="1"/>
      <c r="L15" s="1"/>
      <c r="M15" s="1"/>
      <c r="N15" s="1"/>
      <c r="S15" s="1"/>
      <c r="T15" s="1"/>
      <c r="Z15" s="445" t="e">
        <v>#N/A</v>
      </c>
    </row>
    <row r="16" spans="1:26" ht="14.85" customHeight="1">
      <c r="A16" s="1"/>
      <c r="B16" s="1"/>
      <c r="C16" s="583" t="str">
        <f>'Translate&amp;Prices&amp;Logo'!$B$252</f>
        <v>Adresa provozovny</v>
      </c>
      <c r="D16" s="583"/>
      <c r="E16" s="583"/>
      <c r="F16" s="583"/>
      <c r="G16" s="583"/>
      <c r="H16" s="321"/>
      <c r="I16" s="578"/>
      <c r="J16" s="578"/>
      <c r="K16" s="578"/>
      <c r="L16" s="578"/>
      <c r="M16" s="578"/>
      <c r="N16" s="578"/>
      <c r="S16" s="1"/>
      <c r="T16" s="1"/>
      <c r="V16" s="445" t="e">
        <f>VLOOKUP(I29,'Translate&amp;Prices&amp;Logo'!B95:C96,2,0)</f>
        <v>#N/A</v>
      </c>
      <c r="W16" s="445" t="e">
        <f>V16*(2*(I21/1000))*(2*(I22/1000))</f>
        <v>#N/A</v>
      </c>
      <c r="Z16" s="445" t="e">
        <v>#N/A</v>
      </c>
    </row>
    <row r="17" spans="1:26" ht="14.85" customHeight="1">
      <c r="A17" s="1"/>
      <c r="B17" s="1"/>
      <c r="C17" s="1"/>
      <c r="D17" s="1"/>
      <c r="E17" s="1"/>
      <c r="F17" s="1"/>
      <c r="G17" s="1"/>
      <c r="H17" s="1"/>
      <c r="I17" s="1"/>
      <c r="J17" s="1"/>
      <c r="K17" s="1"/>
      <c r="L17" s="1"/>
      <c r="M17" s="1"/>
      <c r="N17" s="1"/>
      <c r="S17" s="1"/>
      <c r="T17" s="1"/>
      <c r="Z17" s="445" t="e">
        <v>#N/A</v>
      </c>
    </row>
    <row r="18" spans="1:26" ht="14.85" customHeight="1">
      <c r="A18" s="1"/>
      <c r="B18" s="1"/>
      <c r="C18" s="583" t="str">
        <f>'Translate&amp;Prices&amp;Logo'!$B$254</f>
        <v>Sleva na rámečky</v>
      </c>
      <c r="D18" s="583"/>
      <c r="E18" s="583"/>
      <c r="F18" s="583"/>
      <c r="G18" s="583"/>
      <c r="H18" s="321"/>
      <c r="I18" s="585"/>
      <c r="J18" s="585"/>
      <c r="K18" s="585"/>
      <c r="L18" s="585"/>
      <c r="M18" s="585"/>
      <c r="N18" s="585"/>
      <c r="S18" s="1"/>
      <c r="T18" s="1"/>
      <c r="Z18" s="445" t="e">
        <v>#N/A</v>
      </c>
    </row>
    <row r="19" spans="1:26" ht="14.85" customHeight="1">
      <c r="A19" s="1"/>
      <c r="B19" s="1"/>
      <c r="S19" s="1"/>
      <c r="T19" s="1"/>
      <c r="V19" s="445">
        <f>IFERROR((VLOOKUP(I28,'Translate&amp;Prices&amp;Logo'!B99:D163,2,0))*((I21/1000)*(I22/1000))+U9+U10+W16,0)</f>
        <v>0</v>
      </c>
      <c r="Z19" s="445" t="e">
        <v>#N/A</v>
      </c>
    </row>
    <row r="20" spans="1:26" ht="14.85" customHeight="1">
      <c r="A20" s="1"/>
      <c r="B20" s="1"/>
      <c r="S20" s="1"/>
      <c r="T20" s="1"/>
      <c r="Z20" s="445" t="e">
        <v>#N/A</v>
      </c>
    </row>
    <row r="21" spans="1:26" ht="14.85" customHeight="1">
      <c r="A21" s="1"/>
      <c r="B21" s="1"/>
      <c r="C21" s="588" t="str">
        <f>'Translate&amp;Prices&amp;Logo'!$B$175</f>
        <v xml:space="preserve">Šířka </v>
      </c>
      <c r="D21" s="589"/>
      <c r="E21" s="589"/>
      <c r="F21" s="589"/>
      <c r="G21" s="589"/>
      <c r="H21" s="408"/>
      <c r="I21" s="592"/>
      <c r="J21" s="592"/>
      <c r="K21" s="592"/>
      <c r="L21" s="592"/>
      <c r="M21" s="592"/>
      <c r="N21" s="592"/>
      <c r="O21" s="592"/>
      <c r="P21" s="592"/>
      <c r="Q21" s="592"/>
      <c r="R21" s="593"/>
      <c r="S21" s="1"/>
      <c r="T21" s="1"/>
      <c r="Z21" s="445" t="e">
        <v>#N/A</v>
      </c>
    </row>
    <row r="22" spans="1:26" ht="14.85" customHeight="1">
      <c r="A22" s="1"/>
      <c r="B22" s="1"/>
      <c r="C22" s="588" t="str">
        <f>'Translate&amp;Prices&amp;Logo'!$B$176</f>
        <v>Výška</v>
      </c>
      <c r="D22" s="589"/>
      <c r="E22" s="589"/>
      <c r="F22" s="589"/>
      <c r="G22" s="589"/>
      <c r="H22" s="408"/>
      <c r="I22" s="592"/>
      <c r="J22" s="592"/>
      <c r="K22" s="592"/>
      <c r="L22" s="592"/>
      <c r="M22" s="592"/>
      <c r="N22" s="592"/>
      <c r="O22" s="592"/>
      <c r="P22" s="592"/>
      <c r="Q22" s="592"/>
      <c r="R22" s="593"/>
      <c r="S22" s="1"/>
      <c r="T22" s="1"/>
      <c r="Z22" s="445" t="e">
        <v>#N/A</v>
      </c>
    </row>
    <row r="23" spans="1:26" ht="14.85" customHeight="1">
      <c r="C23" s="429"/>
      <c r="D23" s="427"/>
      <c r="E23" s="427"/>
      <c r="F23" s="427"/>
      <c r="G23" s="427"/>
      <c r="H23" s="1"/>
      <c r="I23" s="1"/>
      <c r="J23" s="1"/>
      <c r="K23" s="1"/>
      <c r="L23" s="1"/>
      <c r="M23" s="1"/>
      <c r="N23" s="1"/>
      <c r="O23" s="1"/>
      <c r="P23" s="1"/>
      <c r="Q23" s="1"/>
      <c r="R23" s="428"/>
      <c r="V23" s="445" t="str">
        <f>'Translate&amp;Prices&amp;Logo'!B91</f>
        <v>Transparentní</v>
      </c>
      <c r="Z23" s="445" t="e">
        <v>#N/A</v>
      </c>
    </row>
    <row r="24" spans="1:26" ht="14.85" customHeight="1">
      <c r="C24" s="588" t="str">
        <f>'Translate&amp;Prices&amp;Logo'!$B$173</f>
        <v>Typ úpravy skla</v>
      </c>
      <c r="D24" s="589"/>
      <c r="E24" s="589"/>
      <c r="F24" s="589"/>
      <c r="G24" s="589"/>
      <c r="H24" s="408"/>
      <c r="I24" s="604"/>
      <c r="J24" s="604"/>
      <c r="K24" s="604"/>
      <c r="L24" s="604"/>
      <c r="M24" s="604"/>
      <c r="N24" s="604"/>
      <c r="O24" s="604"/>
      <c r="P24" s="604"/>
      <c r="Q24" s="604"/>
      <c r="R24" s="605"/>
      <c r="V24" s="445" t="str">
        <f>'Translate&amp;Prices&amp;Logo'!B92</f>
        <v>Bílá</v>
      </c>
      <c r="Z24" s="445" t="e">
        <v>#N/A</v>
      </c>
    </row>
    <row r="25" spans="1:26" ht="14.85" customHeight="1">
      <c r="C25" s="430"/>
      <c r="D25" s="426"/>
      <c r="E25" s="426"/>
      <c r="F25" s="426"/>
      <c r="G25" s="426"/>
      <c r="H25" s="409"/>
      <c r="I25" s="409"/>
      <c r="J25" s="409"/>
      <c r="K25" s="409"/>
      <c r="L25" s="409"/>
      <c r="M25" s="409"/>
      <c r="N25" s="409"/>
      <c r="O25" s="409"/>
      <c r="P25" s="409"/>
      <c r="Q25" s="409"/>
      <c r="R25" s="409"/>
      <c r="V25" s="445" t="str">
        <f>'Translate&amp;Prices&amp;Logo'!B93</f>
        <v>Černá</v>
      </c>
      <c r="Z25" s="445" t="e">
        <v>#N/A</v>
      </c>
    </row>
    <row r="26" spans="1:26" ht="14.85" customHeight="1">
      <c r="C26" s="430"/>
      <c r="D26" s="426"/>
      <c r="E26" s="426"/>
      <c r="F26" s="426"/>
      <c r="G26" s="426"/>
      <c r="H26" s="409"/>
      <c r="I26" s="606" t="str">
        <f>"↥↥"&amp;"   "&amp;'Translate&amp;Prices&amp;Logo'!$B$573&amp;" "&amp;C28&amp;"   "&amp;"↥↥"</f>
        <v>↥↥   Již neměnit po tom co vyberete Typ skla/síťky   ↥↥</v>
      </c>
      <c r="J26" s="606"/>
      <c r="K26" s="606"/>
      <c r="L26" s="606"/>
      <c r="M26" s="606"/>
      <c r="N26" s="606"/>
      <c r="O26" s="606"/>
      <c r="P26" s="606"/>
      <c r="Q26" s="606"/>
      <c r="R26" s="607"/>
      <c r="Z26" s="445" t="e">
        <v>#N/A</v>
      </c>
    </row>
    <row r="27" spans="1:26" ht="14.85" customHeight="1">
      <c r="C27" s="588" t="str">
        <f>'Translate&amp;Prices&amp;Logo'!$B$562</f>
        <v>Typ folie</v>
      </c>
      <c r="D27" s="589"/>
      <c r="E27" s="589"/>
      <c r="F27" s="589"/>
      <c r="G27" s="589"/>
      <c r="H27" s="408"/>
      <c r="I27" s="590"/>
      <c r="J27" s="590"/>
      <c r="K27" s="590"/>
      <c r="L27" s="590"/>
      <c r="M27" s="590"/>
      <c r="N27" s="590"/>
      <c r="O27" s="590"/>
      <c r="P27" s="590"/>
      <c r="Q27" s="590"/>
      <c r="R27" s="591"/>
      <c r="Z27" s="445" t="e">
        <v>#N/A</v>
      </c>
    </row>
    <row r="28" spans="1:26" ht="14.85" customHeight="1">
      <c r="C28" s="588" t="str">
        <f>'Translate&amp;Prices&amp;Logo'!$B$625</f>
        <v>Typ skla/síťky</v>
      </c>
      <c r="D28" s="589"/>
      <c r="E28" s="589"/>
      <c r="F28" s="589"/>
      <c r="G28" s="589"/>
      <c r="H28" s="408"/>
      <c r="I28" s="590"/>
      <c r="J28" s="590"/>
      <c r="K28" s="590"/>
      <c r="L28" s="590"/>
      <c r="M28" s="590"/>
      <c r="N28" s="590"/>
      <c r="O28" s="590"/>
      <c r="P28" s="590"/>
      <c r="Q28" s="590"/>
      <c r="R28" s="591"/>
      <c r="Z28" s="445" t="e">
        <v>#N/A</v>
      </c>
    </row>
    <row r="29" spans="1:26" ht="14.85" customHeight="1">
      <c r="C29" s="588" t="str">
        <f>'Translate&amp;Prices&amp;Logo'!$B$658</f>
        <v>Broušení hran</v>
      </c>
      <c r="D29" s="589"/>
      <c r="E29" s="589"/>
      <c r="F29" s="589"/>
      <c r="G29" s="589"/>
      <c r="H29" s="408"/>
      <c r="I29" s="590"/>
      <c r="J29" s="590"/>
      <c r="K29" s="590"/>
      <c r="L29" s="590"/>
      <c r="M29" s="590"/>
      <c r="N29" s="590"/>
      <c r="O29" s="590"/>
      <c r="P29" s="590"/>
      <c r="Q29" s="590"/>
      <c r="R29" s="591"/>
      <c r="Z29" s="445" t="e">
        <v>#N/A</v>
      </c>
    </row>
    <row r="30" spans="1:26" ht="14.85" customHeight="1">
      <c r="C30" s="588" t="str">
        <f>('Translate&amp;Prices&amp;Logo'!$B$174)</f>
        <v>Počet kusů</v>
      </c>
      <c r="D30" s="589"/>
      <c r="E30" s="589"/>
      <c r="F30" s="589"/>
      <c r="G30" s="589"/>
      <c r="H30" s="408"/>
      <c r="I30" s="590"/>
      <c r="J30" s="590"/>
      <c r="K30" s="590"/>
      <c r="L30" s="590"/>
      <c r="M30" s="590"/>
      <c r="N30" s="590"/>
      <c r="O30" s="590"/>
      <c r="P30" s="590"/>
      <c r="Q30" s="590"/>
      <c r="R30" s="591"/>
      <c r="Z30" s="445" t="e">
        <v>#N/A</v>
      </c>
    </row>
    <row r="31" spans="1:26" ht="14.85" customHeight="1">
      <c r="C31" s="431"/>
      <c r="D31" s="1"/>
      <c r="E31" s="1"/>
      <c r="F31" s="1"/>
      <c r="G31" s="1"/>
      <c r="H31" s="1"/>
      <c r="I31" s="1"/>
      <c r="J31" s="1"/>
      <c r="K31" s="1"/>
      <c r="L31" s="1"/>
      <c r="M31" s="1"/>
      <c r="N31" s="1"/>
      <c r="O31" s="1"/>
      <c r="P31" s="1"/>
      <c r="Q31" s="1"/>
      <c r="R31" s="428"/>
      <c r="Z31" s="445" t="e">
        <v>#N/A</v>
      </c>
    </row>
    <row r="32" spans="1:26" ht="14.85" customHeight="1">
      <c r="C32" s="594" t="str">
        <f>'Translate&amp;Prices&amp;Logo'!$B$178</f>
        <v>Cena rámečků celkem</v>
      </c>
      <c r="D32" s="595"/>
      <c r="E32" s="595"/>
      <c r="F32" s="595"/>
      <c r="G32" s="595"/>
      <c r="H32" s="595"/>
      <c r="I32" s="595"/>
      <c r="J32" s="595"/>
      <c r="K32" s="595"/>
      <c r="L32" s="598"/>
      <c r="M32" s="600">
        <f>V19*I30*(1-I18)</f>
        <v>0</v>
      </c>
      <c r="N32" s="600"/>
      <c r="O32" s="600"/>
      <c r="P32" s="600"/>
      <c r="Q32" s="600"/>
      <c r="R32" s="601"/>
      <c r="Z32" s="445" t="e">
        <v>#N/A</v>
      </c>
    </row>
    <row r="33" spans="3:26" ht="14.85" customHeight="1" thickBot="1">
      <c r="C33" s="596"/>
      <c r="D33" s="597"/>
      <c r="E33" s="597"/>
      <c r="F33" s="597"/>
      <c r="G33" s="597"/>
      <c r="H33" s="597"/>
      <c r="I33" s="597"/>
      <c r="J33" s="597"/>
      <c r="K33" s="597"/>
      <c r="L33" s="599"/>
      <c r="M33" s="602"/>
      <c r="N33" s="602"/>
      <c r="O33" s="602"/>
      <c r="P33" s="602"/>
      <c r="Q33" s="602"/>
      <c r="R33" s="603"/>
      <c r="Z33" s="445" t="e">
        <v>#N/A</v>
      </c>
    </row>
    <row r="34" spans="3:26" ht="14.85" customHeight="1">
      <c r="Z34" s="445" t="e">
        <v>#N/A</v>
      </c>
    </row>
    <row r="35" spans="3:26" ht="14.85" hidden="1" customHeight="1">
      <c r="Z35" s="445" t="e">
        <v>#N/A</v>
      </c>
    </row>
    <row r="36" spans="3:26" ht="14.85" hidden="1" customHeight="1">
      <c r="Z36" s="445" t="e">
        <v>#N/A</v>
      </c>
    </row>
    <row r="37" spans="3:26" ht="14.85" hidden="1" customHeight="1">
      <c r="Z37" s="445" t="e">
        <v>#N/A</v>
      </c>
    </row>
    <row r="38" spans="3:26" ht="14.85" hidden="1" customHeight="1">
      <c r="Z38" s="445" t="e">
        <v>#N/A</v>
      </c>
    </row>
    <row r="39" spans="3:26" ht="14.85" hidden="1" customHeight="1">
      <c r="Z39" s="445" t="e">
        <v>#N/A</v>
      </c>
    </row>
    <row r="40" spans="3:26" ht="14.85" hidden="1" customHeight="1">
      <c r="Z40" s="445" t="e">
        <v>#N/A</v>
      </c>
    </row>
    <row r="41" spans="3:26" ht="14.85" hidden="1" customHeight="1">
      <c r="Z41" s="445" t="e">
        <v>#N/A</v>
      </c>
    </row>
    <row r="42" spans="3:26" ht="14.85" hidden="1" customHeight="1">
      <c r="Z42" s="445" t="e">
        <v>#N/A</v>
      </c>
    </row>
    <row r="43" spans="3:26" ht="14.85" hidden="1" customHeight="1">
      <c r="Z43" s="445" t="e">
        <v>#N/A</v>
      </c>
    </row>
    <row r="44" spans="3:26" ht="14.85" hidden="1" customHeight="1">
      <c r="Z44" s="445" t="e">
        <v>#N/A</v>
      </c>
    </row>
    <row r="45" spans="3:26" ht="14.85" hidden="1" customHeight="1">
      <c r="Z45" s="445" t="e">
        <v>#N/A</v>
      </c>
    </row>
    <row r="46" spans="3:26" ht="14.85" hidden="1" customHeight="1">
      <c r="Z46" s="445" t="e">
        <v>#N/A</v>
      </c>
    </row>
    <row r="47" spans="3:26" ht="14.85" hidden="1" customHeight="1">
      <c r="Z47" s="445" t="e">
        <v>#N/A</v>
      </c>
    </row>
    <row r="48" spans="3:26" ht="14.85" hidden="1" customHeight="1">
      <c r="Z48" s="445" t="e">
        <v>#N/A</v>
      </c>
    </row>
    <row r="49" spans="26:26" ht="14.85" hidden="1" customHeight="1">
      <c r="Z49" s="445" t="e">
        <v>#N/A</v>
      </c>
    </row>
    <row r="50" spans="26:26" ht="14.85" hidden="1" customHeight="1">
      <c r="Z50" s="445" t="e">
        <v>#N/A</v>
      </c>
    </row>
    <row r="51" spans="26:26" ht="14.85" hidden="1" customHeight="1">
      <c r="Z51" s="445" t="e">
        <v>#N/A</v>
      </c>
    </row>
    <row r="52" spans="26:26" ht="14.85" hidden="1" customHeight="1">
      <c r="Z52" s="445" t="e">
        <v>#N/A</v>
      </c>
    </row>
    <row r="53" spans="26:26" ht="14.85" hidden="1" customHeight="1">
      <c r="Z53" s="445" t="e">
        <v>#N/A</v>
      </c>
    </row>
    <row r="54" spans="26:26" ht="14.85" hidden="1" customHeight="1">
      <c r="Z54" s="445" t="e">
        <v>#N/A</v>
      </c>
    </row>
    <row r="55" spans="26:26" ht="14.85" hidden="1" customHeight="1">
      <c r="Z55" s="445" t="e">
        <v>#N/A</v>
      </c>
    </row>
    <row r="56" spans="26:26" ht="14.85" hidden="1" customHeight="1">
      <c r="Z56" s="445" t="e">
        <v>#N/A</v>
      </c>
    </row>
    <row r="57" spans="26:26" ht="14.85" hidden="1" customHeight="1">
      <c r="Z57" s="445" t="e">
        <v>#N/A</v>
      </c>
    </row>
    <row r="58" spans="26:26" ht="14.85" hidden="1" customHeight="1">
      <c r="Z58" s="445" t="e">
        <v>#N/A</v>
      </c>
    </row>
    <row r="59" spans="26:26" ht="14.85" hidden="1" customHeight="1">
      <c r="Z59" s="445" t="e">
        <v>#N/A</v>
      </c>
    </row>
    <row r="60" spans="26:26" ht="14.85" hidden="1" customHeight="1">
      <c r="Z60" s="445" t="e">
        <v>#N/A</v>
      </c>
    </row>
    <row r="61" spans="26:26" ht="14.85" hidden="1" customHeight="1">
      <c r="Z61" s="445" t="e">
        <v>#N/A</v>
      </c>
    </row>
    <row r="62" spans="26:26" ht="14.85" hidden="1" customHeight="1">
      <c r="Z62" s="445" t="e">
        <v>#N/A</v>
      </c>
    </row>
    <row r="63" spans="26:26" ht="14.85" hidden="1" customHeight="1">
      <c r="Z63" s="445" t="e">
        <v>#N/A</v>
      </c>
    </row>
    <row r="64" spans="26:26" ht="14.85" hidden="1" customHeight="1">
      <c r="Z64" s="445" t="e">
        <v>#N/A</v>
      </c>
    </row>
  </sheetData>
  <sheetProtection algorithmName="SHA-512" hashValue="wvFvDnZztWpEgdUTmR0JyR+ypl/H8G7nYDCQKn0q7EngdBkmaVKfjVkAi+c/lLvTnsZozksZrnOKvjswt8iOGw==" saltValue="LgSsacoAzFt6ekOZdTUWEA==" spinCount="100000" sheet="1" objects="1" scenarios="1" selectLockedCells="1"/>
  <mergeCells count="31">
    <mergeCell ref="Q2:T3"/>
    <mergeCell ref="I26:R26"/>
    <mergeCell ref="C27:G27"/>
    <mergeCell ref="I27:R27"/>
    <mergeCell ref="C8:G8"/>
    <mergeCell ref="I8:N8"/>
    <mergeCell ref="C10:G10"/>
    <mergeCell ref="I10:N10"/>
    <mergeCell ref="C12:G12"/>
    <mergeCell ref="I12:N12"/>
    <mergeCell ref="C14:G14"/>
    <mergeCell ref="I14:N14"/>
    <mergeCell ref="C16:G16"/>
    <mergeCell ref="I16:N16"/>
    <mergeCell ref="C18:G18"/>
    <mergeCell ref="I18:N18"/>
    <mergeCell ref="C21:G21"/>
    <mergeCell ref="I29:R29"/>
    <mergeCell ref="C24:G24"/>
    <mergeCell ref="I21:R21"/>
    <mergeCell ref="C32:K33"/>
    <mergeCell ref="L32:L33"/>
    <mergeCell ref="M32:R33"/>
    <mergeCell ref="I22:R22"/>
    <mergeCell ref="I28:R28"/>
    <mergeCell ref="I24:R24"/>
    <mergeCell ref="C28:G28"/>
    <mergeCell ref="C29:G29"/>
    <mergeCell ref="C22:G22"/>
    <mergeCell ref="C30:G30"/>
    <mergeCell ref="I30:R30"/>
  </mergeCells>
  <conditionalFormatting sqref="C27:R27">
    <cfRule type="expression" dxfId="732" priority="5">
      <formula>$W$3&lt;3</formula>
    </cfRule>
  </conditionalFormatting>
  <conditionalFormatting sqref="I26">
    <cfRule type="expression" dxfId="731" priority="6">
      <formula>#REF!&gt;0</formula>
    </cfRule>
  </conditionalFormatting>
  <dataValidations count="4">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s>
  <hyperlinks>
    <hyperlink ref="Q2:T3" location="Hlavní!A1" display="Hlavní!A1" xr:uid="{9D9EF01F-ED04-4974-BD6F-CC5469539BD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topLeftCell="H471" workbookViewId="0">
      <selection activeCell="K488" sqref="K488"/>
    </sheetView>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2" customWidth="1"/>
    <col min="16" max="19" width="27.42578125" customWidth="1"/>
  </cols>
  <sheetData>
    <row r="1" spans="1:25">
      <c r="B1" t="s">
        <v>77</v>
      </c>
      <c r="C1" t="s">
        <v>78</v>
      </c>
      <c r="D1">
        <v>1</v>
      </c>
      <c r="E1" t="s">
        <v>78</v>
      </c>
      <c r="G1" t="s">
        <v>79</v>
      </c>
      <c r="I1" t="s">
        <v>80</v>
      </c>
      <c r="K1" t="s">
        <v>81</v>
      </c>
      <c r="O1" s="12" t="s">
        <v>78</v>
      </c>
      <c r="P1" t="s">
        <v>79</v>
      </c>
      <c r="Q1" t="s">
        <v>80</v>
      </c>
      <c r="R1" t="s">
        <v>81</v>
      </c>
      <c r="T1" t="s">
        <v>21</v>
      </c>
      <c r="U1" t="s">
        <v>19</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32</v>
      </c>
      <c r="H3" s="4">
        <v>25</v>
      </c>
      <c r="I3" s="3" t="s">
        <v>32</v>
      </c>
      <c r="J3" s="4">
        <v>6.5</v>
      </c>
      <c r="K3" s="3" t="s">
        <v>1008</v>
      </c>
      <c r="L3" s="4">
        <v>9.1999999999999993</v>
      </c>
      <c r="M3" s="255"/>
      <c r="N3" s="255"/>
    </row>
    <row r="4" spans="1:25">
      <c r="B4" s="5" t="s">
        <v>33</v>
      </c>
      <c r="C4" s="1017" t="s">
        <v>34</v>
      </c>
      <c r="D4" s="1018"/>
      <c r="E4" s="1017" t="s">
        <v>34</v>
      </c>
      <c r="F4" s="1018"/>
      <c r="G4" s="1017" t="s">
        <v>35</v>
      </c>
      <c r="H4" s="1018"/>
      <c r="I4" s="1017" t="s">
        <v>36</v>
      </c>
      <c r="J4" s="1018"/>
      <c r="K4" s="1017" t="s">
        <v>37</v>
      </c>
      <c r="L4" s="1018"/>
      <c r="M4" s="256"/>
      <c r="N4" s="256"/>
    </row>
    <row r="5" spans="1:25">
      <c r="B5" s="121" t="s">
        <v>38</v>
      </c>
      <c r="C5" s="122" t="s">
        <v>39</v>
      </c>
      <c r="D5" s="123" t="s">
        <v>40</v>
      </c>
      <c r="E5" s="122" t="s">
        <v>39</v>
      </c>
      <c r="F5" s="123" t="s">
        <v>40</v>
      </c>
      <c r="G5" s="122" t="s">
        <v>39</v>
      </c>
      <c r="H5" s="123" t="s">
        <v>40</v>
      </c>
      <c r="I5" s="122" t="s">
        <v>39</v>
      </c>
      <c r="J5" s="123" t="s">
        <v>40</v>
      </c>
      <c r="K5" s="122" t="s">
        <v>39</v>
      </c>
      <c r="L5" s="123" t="s">
        <v>40</v>
      </c>
      <c r="M5" s="257"/>
      <c r="N5" s="257"/>
      <c r="O5" s="12" t="s">
        <v>78</v>
      </c>
      <c r="P5" t="s">
        <v>79</v>
      </c>
      <c r="Q5" t="s">
        <v>80</v>
      </c>
      <c r="R5" t="s">
        <v>81</v>
      </c>
      <c r="S5" t="s">
        <v>1694</v>
      </c>
      <c r="T5" t="s">
        <v>21</v>
      </c>
      <c r="U5" t="s">
        <v>19</v>
      </c>
    </row>
    <row r="6" spans="1:25">
      <c r="A6" s="2" t="s">
        <v>984</v>
      </c>
      <c r="B6" s="254" t="str">
        <f t="shared" ref="B6:B47" si="0">IF($D$1=1,O:O,IF($D$1=2,P:P,IF($D$1=3,Q:Q,IF($D$1=4,R:R,IF($D$1=5,S:S)))))</f>
        <v>BRW (elox.)</v>
      </c>
      <c r="C6" s="258">
        <f t="shared" ref="C6:C47" si="1">IF($D$1=1,E:E,IF($D$1=2,G:G,IF($D$1=3,I:I,IF($D$1=4,K:K,IF($D$1=5,M:M)))))</f>
        <v>212.18</v>
      </c>
      <c r="D6" s="258">
        <f t="shared" ref="D6:D47" si="2">IF($D$1=1,F:F,IF($D$1=2,H:H,IF($D$1=3,J:J,IF($D$1=4,L:L,IF($D$1=5,N:N)))))</f>
        <v>92.7</v>
      </c>
      <c r="E6" s="23">
        <v>212.18</v>
      </c>
      <c r="F6" s="23">
        <v>92.7</v>
      </c>
      <c r="G6" s="125">
        <v>6.2856381923076921</v>
      </c>
      <c r="H6" s="125">
        <v>3.4277639423076924</v>
      </c>
      <c r="I6" s="125">
        <v>31.692307692307693</v>
      </c>
      <c r="J6" s="125">
        <v>13.846153846153847</v>
      </c>
      <c r="K6" s="126">
        <v>2239.130434782609</v>
      </c>
      <c r="L6" s="126">
        <v>978.26086956521738</v>
      </c>
      <c r="M6" s="126"/>
      <c r="N6" s="126"/>
      <c r="O6" s="111" t="s">
        <v>984</v>
      </c>
      <c r="P6" s="111" t="s">
        <v>984</v>
      </c>
      <c r="Q6" s="111" t="s">
        <v>984</v>
      </c>
      <c r="R6" s="111" t="s">
        <v>984</v>
      </c>
      <c r="S6" s="111" t="s">
        <v>1695</v>
      </c>
      <c r="T6" s="128">
        <v>1</v>
      </c>
      <c r="U6" s="128">
        <v>1</v>
      </c>
      <c r="Y6" t="s">
        <v>984</v>
      </c>
    </row>
    <row r="7" spans="1:25">
      <c r="A7" s="2" t="s">
        <v>1393</v>
      </c>
      <c r="B7" s="254" t="str">
        <f t="shared" si="0"/>
        <v>BRW antracit</v>
      </c>
      <c r="C7" s="258">
        <f t="shared" si="1"/>
        <v>424.36</v>
      </c>
      <c r="D7" s="258">
        <f t="shared" si="2"/>
        <v>112.27</v>
      </c>
      <c r="E7" s="23">
        <v>424.36</v>
      </c>
      <c r="F7" s="23">
        <v>112.27</v>
      </c>
      <c r="G7" s="125">
        <v>11.554309250000001</v>
      </c>
      <c r="H7" s="125">
        <v>3.4277639423076924</v>
      </c>
      <c r="I7" s="125">
        <v>63.384615384615387</v>
      </c>
      <c r="J7" s="125">
        <v>16.76923076923077</v>
      </c>
      <c r="K7" s="126">
        <v>4478.2608695652179</v>
      </c>
      <c r="L7" s="126">
        <v>1184.7826086956522</v>
      </c>
      <c r="M7" s="126"/>
      <c r="N7" s="126"/>
      <c r="O7" s="111" t="s">
        <v>1393</v>
      </c>
      <c r="P7" s="111" t="s">
        <v>1393</v>
      </c>
      <c r="Q7" s="124" t="s">
        <v>1402</v>
      </c>
      <c r="R7" s="111" t="s">
        <v>1402</v>
      </c>
      <c r="S7" s="111" t="s">
        <v>1696</v>
      </c>
      <c r="T7" s="128">
        <v>1</v>
      </c>
      <c r="U7" s="128">
        <v>1</v>
      </c>
      <c r="Y7" t="s">
        <v>1393</v>
      </c>
    </row>
    <row r="8" spans="1:25">
      <c r="A8" s="2" t="s">
        <v>1617</v>
      </c>
      <c r="B8" s="254" t="str">
        <f t="shared" si="0"/>
        <v>BRW bílá mat</v>
      </c>
      <c r="C8" s="258">
        <f t="shared" si="1"/>
        <v>424.36</v>
      </c>
      <c r="D8" s="258">
        <f t="shared" si="2"/>
        <v>112.27</v>
      </c>
      <c r="E8" s="23">
        <v>424.36</v>
      </c>
      <c r="F8" s="23">
        <v>112.27</v>
      </c>
      <c r="G8" s="125">
        <v>11.554309250000001</v>
      </c>
      <c r="H8" s="125">
        <v>3.4277639423076924</v>
      </c>
      <c r="I8" s="125">
        <v>63.384615384615387</v>
      </c>
      <c r="J8" s="125">
        <v>16.76923076923077</v>
      </c>
      <c r="K8" s="126">
        <v>4478.2608695652179</v>
      </c>
      <c r="L8" s="126">
        <v>1184.7826086956522</v>
      </c>
      <c r="M8" s="126"/>
      <c r="N8" s="126"/>
      <c r="O8" s="111" t="s">
        <v>1615</v>
      </c>
      <c r="P8" s="111" t="s">
        <v>1616</v>
      </c>
      <c r="Q8" s="124" t="s">
        <v>1617</v>
      </c>
      <c r="R8" s="111" t="s">
        <v>1618</v>
      </c>
      <c r="S8" s="111" t="s">
        <v>1697</v>
      </c>
      <c r="T8" s="128">
        <v>1</v>
      </c>
      <c r="U8" s="128">
        <v>1</v>
      </c>
      <c r="Y8" t="s">
        <v>1615</v>
      </c>
    </row>
    <row r="9" spans="1:25">
      <c r="A9" s="2" t="s">
        <v>1621</v>
      </c>
      <c r="B9" s="254" t="str">
        <f t="shared" si="0"/>
        <v>BRW bílá lesk</v>
      </c>
      <c r="C9" s="258">
        <f t="shared" si="1"/>
        <v>424.36</v>
      </c>
      <c r="D9" s="258">
        <f t="shared" si="2"/>
        <v>112.27</v>
      </c>
      <c r="E9" s="23">
        <v>424.36</v>
      </c>
      <c r="F9" s="23">
        <v>112.27</v>
      </c>
      <c r="G9" s="125">
        <v>11.55</v>
      </c>
      <c r="H9" s="125">
        <v>3.43</v>
      </c>
      <c r="I9" s="125">
        <v>63.38</v>
      </c>
      <c r="J9" s="125">
        <v>16.77</v>
      </c>
      <c r="K9" s="126">
        <v>4478</v>
      </c>
      <c r="L9" s="126">
        <v>1185</v>
      </c>
      <c r="M9" s="126"/>
      <c r="N9" s="126"/>
      <c r="O9" s="111" t="s">
        <v>1619</v>
      </c>
      <c r="P9" s="111" t="s">
        <v>1620</v>
      </c>
      <c r="Q9" s="124" t="s">
        <v>1621</v>
      </c>
      <c r="R9" s="111" t="s">
        <v>1622</v>
      </c>
      <c r="S9" s="111" t="s">
        <v>1698</v>
      </c>
      <c r="T9" s="128">
        <v>1</v>
      </c>
      <c r="U9" s="128">
        <v>1</v>
      </c>
    </row>
    <row r="10" spans="1:25">
      <c r="A10" s="2" t="s">
        <v>1394</v>
      </c>
      <c r="B10" s="254" t="str">
        <f t="shared" si="0"/>
        <v>BRW hnědá</v>
      </c>
      <c r="C10" s="258">
        <f t="shared" si="1"/>
        <v>340.93</v>
      </c>
      <c r="D10" s="258">
        <f t="shared" si="2"/>
        <v>112.27</v>
      </c>
      <c r="E10" s="23">
        <v>340.93</v>
      </c>
      <c r="F10" s="23">
        <v>112.27</v>
      </c>
      <c r="G10" s="125">
        <v>7.9469994153846164</v>
      </c>
      <c r="H10" s="125">
        <v>3.4277639423076924</v>
      </c>
      <c r="I10" s="125">
        <v>50.92307692307692</v>
      </c>
      <c r="J10" s="125">
        <v>16.76923076923077</v>
      </c>
      <c r="K10" s="126">
        <v>3597.826086956522</v>
      </c>
      <c r="L10" s="126">
        <v>1184.7826086956522</v>
      </c>
      <c r="M10" s="126"/>
      <c r="N10" s="126"/>
      <c r="O10" s="111" t="s">
        <v>1403</v>
      </c>
      <c r="P10" s="111" t="s">
        <v>1403</v>
      </c>
      <c r="Q10" s="124" t="s">
        <v>1394</v>
      </c>
      <c r="R10" s="111" t="s">
        <v>1404</v>
      </c>
      <c r="S10" s="111" t="s">
        <v>1699</v>
      </c>
      <c r="T10" s="128">
        <v>1</v>
      </c>
      <c r="U10" s="128">
        <v>1</v>
      </c>
      <c r="Y10" t="s">
        <v>1403</v>
      </c>
    </row>
    <row r="11" spans="1:25">
      <c r="A11" s="2" t="s">
        <v>987</v>
      </c>
      <c r="B11" s="254" t="str">
        <f t="shared" si="0"/>
        <v>BRW broušené</v>
      </c>
      <c r="C11" s="258">
        <f t="shared" si="1"/>
        <v>391.40000000000003</v>
      </c>
      <c r="D11" s="258">
        <f t="shared" si="2"/>
        <v>112.27</v>
      </c>
      <c r="E11" s="23">
        <v>391.40000000000003</v>
      </c>
      <c r="F11" s="23">
        <v>112.27</v>
      </c>
      <c r="G11" s="125">
        <v>11.604608653846155</v>
      </c>
      <c r="H11" s="125">
        <v>3.4277639423076924</v>
      </c>
      <c r="I11" s="125">
        <v>58.46153846153846</v>
      </c>
      <c r="J11" s="125">
        <v>16.76923076923077</v>
      </c>
      <c r="K11" s="126">
        <v>4130.434782608696</v>
      </c>
      <c r="L11" s="126">
        <v>1184.7826086956522</v>
      </c>
      <c r="M11" s="126"/>
      <c r="N11" s="126"/>
      <c r="O11" s="112" t="s">
        <v>985</v>
      </c>
      <c r="P11" s="112" t="s">
        <v>986</v>
      </c>
      <c r="Q11" s="112" t="s">
        <v>987</v>
      </c>
      <c r="R11" s="112" t="s">
        <v>988</v>
      </c>
      <c r="S11" s="111" t="s">
        <v>1700</v>
      </c>
      <c r="T11" s="128">
        <v>1</v>
      </c>
      <c r="U11" s="128">
        <v>1</v>
      </c>
      <c r="Y11" t="s">
        <v>985</v>
      </c>
    </row>
    <row r="12" spans="1:25">
      <c r="A12" s="2" t="s">
        <v>1633</v>
      </c>
      <c r="B12" s="254" t="str">
        <f t="shared" si="0"/>
        <v>BRW černá mat</v>
      </c>
      <c r="C12" s="258">
        <f t="shared" si="1"/>
        <v>340.93</v>
      </c>
      <c r="D12" s="258">
        <f t="shared" si="2"/>
        <v>112.27</v>
      </c>
      <c r="E12" s="23">
        <v>340.93</v>
      </c>
      <c r="F12" s="23">
        <v>112.27</v>
      </c>
      <c r="G12" s="125">
        <v>7.9469994153846164</v>
      </c>
      <c r="H12" s="125">
        <v>3.4277639423076924</v>
      </c>
      <c r="I12" s="125">
        <v>50.92307692307692</v>
      </c>
      <c r="J12" s="125">
        <v>16.76923076923077</v>
      </c>
      <c r="K12" s="126">
        <v>3597.826086956522</v>
      </c>
      <c r="L12" s="126">
        <v>1184.7826086956522</v>
      </c>
      <c r="M12" s="126"/>
      <c r="N12" s="126"/>
      <c r="O12" s="112" t="s">
        <v>1607</v>
      </c>
      <c r="P12" s="112" t="s">
        <v>1608</v>
      </c>
      <c r="Q12" s="112" t="s">
        <v>1609</v>
      </c>
      <c r="R12" s="112" t="s">
        <v>1610</v>
      </c>
      <c r="S12" s="111" t="s">
        <v>1701</v>
      </c>
      <c r="T12" s="128">
        <v>1</v>
      </c>
      <c r="U12" s="128">
        <v>1</v>
      </c>
      <c r="Y12" t="s">
        <v>1607</v>
      </c>
    </row>
    <row r="13" spans="1:25">
      <c r="A13" s="2" t="s">
        <v>1634</v>
      </c>
      <c r="B13" s="254" t="str">
        <f t="shared" si="0"/>
        <v>BRW černá lesk</v>
      </c>
      <c r="C13" s="258">
        <f t="shared" si="1"/>
        <v>496.46000000000004</v>
      </c>
      <c r="D13" s="258">
        <f t="shared" si="2"/>
        <v>112.27</v>
      </c>
      <c r="E13" s="23">
        <v>496.46000000000004</v>
      </c>
      <c r="F13" s="23">
        <v>112.27</v>
      </c>
      <c r="G13" s="125">
        <v>11.58</v>
      </c>
      <c r="H13" s="125">
        <v>3.43</v>
      </c>
      <c r="I13" s="125">
        <v>74.150000000000006</v>
      </c>
      <c r="J13" s="125">
        <v>16.77</v>
      </c>
      <c r="K13" s="126">
        <v>5239</v>
      </c>
      <c r="L13" s="126">
        <v>1185</v>
      </c>
      <c r="M13" s="126"/>
      <c r="N13" s="126"/>
      <c r="O13" s="112" t="s">
        <v>1611</v>
      </c>
      <c r="P13" s="112" t="s">
        <v>1612</v>
      </c>
      <c r="Q13" s="112" t="s">
        <v>1613</v>
      </c>
      <c r="R13" s="112" t="s">
        <v>1614</v>
      </c>
      <c r="S13" s="111" t="s">
        <v>1702</v>
      </c>
      <c r="T13" s="128">
        <v>1</v>
      </c>
      <c r="U13" s="128">
        <v>1</v>
      </c>
    </row>
    <row r="14" spans="1:25">
      <c r="A14" s="2" t="s">
        <v>991</v>
      </c>
      <c r="B14" s="254" t="str">
        <f t="shared" si="0"/>
        <v>BRW černá broušená</v>
      </c>
      <c r="C14" s="258">
        <f t="shared" si="1"/>
        <v>355.35</v>
      </c>
      <c r="D14" s="258">
        <f t="shared" si="2"/>
        <v>112.27</v>
      </c>
      <c r="E14" s="23">
        <v>355.35</v>
      </c>
      <c r="F14" s="23">
        <v>112.27</v>
      </c>
      <c r="G14" s="125">
        <v>7.9741662000000018</v>
      </c>
      <c r="H14" s="125">
        <v>3.4277639423076924</v>
      </c>
      <c r="I14" s="125">
        <v>53.07692307692308</v>
      </c>
      <c r="J14" s="125">
        <v>16.76923076923077</v>
      </c>
      <c r="K14" s="126">
        <v>3750</v>
      </c>
      <c r="L14" s="126">
        <v>1184.7826086956522</v>
      </c>
      <c r="M14" s="126"/>
      <c r="N14" s="126"/>
      <c r="O14" s="112" t="s">
        <v>989</v>
      </c>
      <c r="P14" s="112" t="s">
        <v>990</v>
      </c>
      <c r="Q14" s="112" t="s">
        <v>991</v>
      </c>
      <c r="R14" s="112" t="s">
        <v>992</v>
      </c>
      <c r="S14" s="111" t="s">
        <v>1703</v>
      </c>
      <c r="T14" s="128">
        <v>1</v>
      </c>
      <c r="U14" s="128">
        <v>1</v>
      </c>
      <c r="Y14" t="s">
        <v>989</v>
      </c>
    </row>
    <row r="15" spans="1:25">
      <c r="A15" s="2" t="s">
        <v>1395</v>
      </c>
      <c r="B15" s="254" t="str">
        <f t="shared" si="0"/>
        <v>BRW světlá nerez (ACIER GRATA)</v>
      </c>
      <c r="C15" s="258">
        <f t="shared" si="1"/>
        <v>352.26</v>
      </c>
      <c r="D15" s="258">
        <f t="shared" si="2"/>
        <v>112.27</v>
      </c>
      <c r="E15" s="23">
        <v>352.26</v>
      </c>
      <c r="F15" s="23">
        <v>112.27</v>
      </c>
      <c r="G15" s="125">
        <v>8.147737442307692</v>
      </c>
      <c r="H15" s="125">
        <v>3.4277639423076924</v>
      </c>
      <c r="I15" s="125">
        <v>52.615384615384613</v>
      </c>
      <c r="J15" s="125">
        <v>16.76923076923077</v>
      </c>
      <c r="K15" s="126">
        <v>3717.3913043478265</v>
      </c>
      <c r="L15" s="126">
        <v>1184.7826086956522</v>
      </c>
      <c r="M15" s="126"/>
      <c r="N15" s="126"/>
      <c r="O15" s="112" t="s">
        <v>1405</v>
      </c>
      <c r="P15" s="112" t="s">
        <v>1406</v>
      </c>
      <c r="Q15" s="112" t="s">
        <v>1407</v>
      </c>
      <c r="R15" s="112" t="s">
        <v>1408</v>
      </c>
      <c r="S15" s="111" t="s">
        <v>1704</v>
      </c>
      <c r="T15" s="128">
        <v>1</v>
      </c>
      <c r="U15" s="128">
        <v>1</v>
      </c>
      <c r="Y15" t="s">
        <v>1405</v>
      </c>
    </row>
    <row r="16" spans="1:25">
      <c r="A16" s="2" t="s">
        <v>409</v>
      </c>
      <c r="B16" s="254" t="str">
        <f t="shared" si="0"/>
        <v>BRW champagne</v>
      </c>
      <c r="C16" s="258">
        <f t="shared" si="1"/>
        <v>340.93</v>
      </c>
      <c r="D16" s="258">
        <f t="shared" si="2"/>
        <v>112.27</v>
      </c>
      <c r="E16" s="23">
        <v>340.93</v>
      </c>
      <c r="F16" s="23">
        <v>112.27</v>
      </c>
      <c r="G16" s="125">
        <v>7.9472036769230776</v>
      </c>
      <c r="H16" s="125">
        <v>3.4277639423076924</v>
      </c>
      <c r="I16" s="125">
        <v>50.92307692307692</v>
      </c>
      <c r="J16" s="125">
        <v>16.76923076923077</v>
      </c>
      <c r="K16" s="126">
        <v>3597.826086956522</v>
      </c>
      <c r="L16" s="126">
        <v>1184.7826086956522</v>
      </c>
      <c r="M16" s="126"/>
      <c r="N16" s="126"/>
      <c r="O16" s="112" t="s">
        <v>42</v>
      </c>
      <c r="P16" s="112" t="s">
        <v>42</v>
      </c>
      <c r="Q16" s="112" t="s">
        <v>409</v>
      </c>
      <c r="R16" s="112" t="s">
        <v>617</v>
      </c>
      <c r="S16" s="111" t="s">
        <v>42</v>
      </c>
      <c r="T16" s="128">
        <v>1</v>
      </c>
      <c r="U16" s="128">
        <v>1</v>
      </c>
      <c r="Y16" t="s">
        <v>42</v>
      </c>
    </row>
    <row r="17" spans="1:25">
      <c r="A17" s="2" t="s">
        <v>1396</v>
      </c>
      <c r="B17" s="254" t="str">
        <f t="shared" si="0"/>
        <v>BRW tmavá nerez br. (Inox lija)</v>
      </c>
      <c r="C17" s="258">
        <f t="shared" si="1"/>
        <v>352.26</v>
      </c>
      <c r="D17" s="258">
        <f t="shared" si="2"/>
        <v>112.27</v>
      </c>
      <c r="E17" s="23">
        <v>352.26</v>
      </c>
      <c r="F17" s="23">
        <v>112.27</v>
      </c>
      <c r="G17" s="125">
        <v>8.147737442307692</v>
      </c>
      <c r="H17" s="125">
        <v>3.4277639423076924</v>
      </c>
      <c r="I17" s="125">
        <v>52.615384615384613</v>
      </c>
      <c r="J17" s="125">
        <v>16.76923076923077</v>
      </c>
      <c r="K17" s="126">
        <v>3717.3913043478265</v>
      </c>
      <c r="L17" s="126">
        <v>1184.7826086956522</v>
      </c>
      <c r="M17" s="126"/>
      <c r="N17" s="126"/>
      <c r="O17" s="112" t="s">
        <v>1409</v>
      </c>
      <c r="P17" s="112" t="s">
        <v>1410</v>
      </c>
      <c r="Q17" s="127" t="s">
        <v>410</v>
      </c>
      <c r="R17" s="112" t="s">
        <v>618</v>
      </c>
      <c r="S17" s="111" t="s">
        <v>1705</v>
      </c>
      <c r="T17" s="128">
        <v>1</v>
      </c>
      <c r="U17" s="128">
        <v>1</v>
      </c>
      <c r="Y17" t="s">
        <v>1409</v>
      </c>
    </row>
    <row r="18" spans="1:25">
      <c r="A18" s="2" t="s">
        <v>993</v>
      </c>
      <c r="B18" s="254" t="str">
        <f t="shared" si="0"/>
        <v>Corleone (elox.)</v>
      </c>
      <c r="C18" s="258">
        <f t="shared" si="1"/>
        <v>391.40000000000003</v>
      </c>
      <c r="D18" s="258">
        <f t="shared" si="2"/>
        <v>161.71</v>
      </c>
      <c r="E18" s="23">
        <v>391.40000000000003</v>
      </c>
      <c r="F18" s="23">
        <v>161.71</v>
      </c>
      <c r="G18" s="125">
        <v>9.7074274846153852</v>
      </c>
      <c r="H18" s="125">
        <v>5.0516431730769238</v>
      </c>
      <c r="I18" s="125">
        <v>58.46153846153846</v>
      </c>
      <c r="J18" s="125">
        <v>24.153846153846153</v>
      </c>
      <c r="K18" s="126">
        <v>4130.434782608696</v>
      </c>
      <c r="L18" s="126">
        <v>1706.5217391304348</v>
      </c>
      <c r="M18" s="126"/>
      <c r="N18" s="126"/>
      <c r="O18" s="112" t="s">
        <v>993</v>
      </c>
      <c r="P18" s="112" t="s">
        <v>993</v>
      </c>
      <c r="Q18" s="127" t="s">
        <v>993</v>
      </c>
      <c r="R18" s="112" t="s">
        <v>993</v>
      </c>
      <c r="S18" s="111" t="s">
        <v>1706</v>
      </c>
      <c r="T18" s="128">
        <v>2</v>
      </c>
      <c r="U18" s="128">
        <v>1</v>
      </c>
      <c r="Y18" t="s">
        <v>993</v>
      </c>
    </row>
    <row r="19" spans="1:25">
      <c r="A19" s="2" t="s">
        <v>704</v>
      </c>
      <c r="B19" s="254" t="str">
        <f t="shared" si="0"/>
        <v>Corleone černé mat</v>
      </c>
      <c r="C19" s="258">
        <f t="shared" si="1"/>
        <v>504.7</v>
      </c>
      <c r="D19" s="258">
        <f t="shared" si="2"/>
        <v>161.71</v>
      </c>
      <c r="E19" s="23">
        <v>504.7</v>
      </c>
      <c r="F19" s="23">
        <v>161.71</v>
      </c>
      <c r="G19" s="125">
        <v>13.220011030769232</v>
      </c>
      <c r="H19" s="125">
        <v>5.0516431730769238</v>
      </c>
      <c r="I19" s="125">
        <v>75.384615384615387</v>
      </c>
      <c r="J19" s="125">
        <v>24.153846153846153</v>
      </c>
      <c r="K19" s="126">
        <v>5326.0869565217399</v>
      </c>
      <c r="L19" s="126">
        <v>1706.5217391304348</v>
      </c>
      <c r="M19" s="126"/>
      <c r="N19" s="126"/>
      <c r="O19" s="112" t="s">
        <v>1641</v>
      </c>
      <c r="P19" s="112" t="s">
        <v>1642</v>
      </c>
      <c r="Q19" s="127" t="s">
        <v>1643</v>
      </c>
      <c r="R19" s="112" t="s">
        <v>1644</v>
      </c>
      <c r="S19" s="111" t="s">
        <v>1707</v>
      </c>
      <c r="T19" s="128">
        <v>2</v>
      </c>
      <c r="U19" s="128">
        <v>1</v>
      </c>
      <c r="Y19" t="s">
        <v>1641</v>
      </c>
    </row>
    <row r="20" spans="1:25">
      <c r="A20" s="2" t="s">
        <v>995</v>
      </c>
      <c r="B20" s="254" t="str">
        <f t="shared" si="0"/>
        <v>Corleone champagne</v>
      </c>
      <c r="C20" s="258">
        <f t="shared" si="1"/>
        <v>504.7</v>
      </c>
      <c r="D20" s="258">
        <f t="shared" si="2"/>
        <v>161.71</v>
      </c>
      <c r="E20" s="23">
        <v>504.7</v>
      </c>
      <c r="F20" s="23">
        <v>161.71</v>
      </c>
      <c r="G20" s="125">
        <v>13.044141846153849</v>
      </c>
      <c r="H20" s="125">
        <v>5.0516431730769238</v>
      </c>
      <c r="I20" s="125">
        <v>75.384615384615387</v>
      </c>
      <c r="J20" s="125">
        <v>24.153846153846153</v>
      </c>
      <c r="K20" s="126">
        <v>5326.0869565217399</v>
      </c>
      <c r="L20" s="126">
        <v>1706.5217391304348</v>
      </c>
      <c r="M20" s="126"/>
      <c r="N20" s="126"/>
      <c r="O20" s="112" t="s">
        <v>994</v>
      </c>
      <c r="P20" s="112" t="s">
        <v>994</v>
      </c>
      <c r="Q20" s="127" t="s">
        <v>995</v>
      </c>
      <c r="R20" s="112" t="s">
        <v>996</v>
      </c>
      <c r="S20" s="111" t="s">
        <v>994</v>
      </c>
      <c r="T20" s="128">
        <v>2</v>
      </c>
      <c r="U20" s="128">
        <v>1</v>
      </c>
      <c r="Y20" t="s">
        <v>994</v>
      </c>
    </row>
    <row r="21" spans="1:25">
      <c r="A21" s="2" t="s">
        <v>997</v>
      </c>
      <c r="B21" s="254" t="str">
        <f t="shared" si="0"/>
        <v>Imola (elox.)</v>
      </c>
      <c r="C21" s="258">
        <f t="shared" si="1"/>
        <v>385.22</v>
      </c>
      <c r="D21" s="258">
        <f t="shared" si="2"/>
        <v>156.56</v>
      </c>
      <c r="E21" s="23">
        <v>385.22</v>
      </c>
      <c r="F21" s="23">
        <v>156.56</v>
      </c>
      <c r="G21" s="125">
        <v>9.5899260346153845</v>
      </c>
      <c r="H21" s="125">
        <v>5.0516431730769238</v>
      </c>
      <c r="I21" s="125">
        <v>57.53846153846154</v>
      </c>
      <c r="J21" s="125">
        <v>23.384615384615383</v>
      </c>
      <c r="K21" s="126">
        <v>4065.2173913043484</v>
      </c>
      <c r="L21" s="126">
        <v>1652.1739130434785</v>
      </c>
      <c r="M21" s="126"/>
      <c r="N21" s="126"/>
      <c r="O21" s="112" t="s">
        <v>997</v>
      </c>
      <c r="P21" s="112" t="s">
        <v>997</v>
      </c>
      <c r="Q21" s="127" t="s">
        <v>997</v>
      </c>
      <c r="R21" s="112" t="s">
        <v>997</v>
      </c>
      <c r="S21" s="111" t="s">
        <v>1708</v>
      </c>
      <c r="T21" s="128">
        <v>2</v>
      </c>
      <c r="U21" s="128">
        <v>2</v>
      </c>
      <c r="Y21" t="s">
        <v>997</v>
      </c>
    </row>
    <row r="22" spans="1:25">
      <c r="A22" s="2" t="s">
        <v>1589</v>
      </c>
      <c r="B22" s="254" t="str">
        <f t="shared" si="0"/>
        <v>Imola černá mat</v>
      </c>
      <c r="C22" s="258">
        <f t="shared" si="1"/>
        <v>504.7</v>
      </c>
      <c r="D22" s="258">
        <f t="shared" si="2"/>
        <v>161.71</v>
      </c>
      <c r="E22" s="23">
        <v>504.7</v>
      </c>
      <c r="F22" s="23">
        <v>161.71</v>
      </c>
      <c r="G22" s="125">
        <v>12.9</v>
      </c>
      <c r="H22" s="125">
        <v>5.0516431730769238</v>
      </c>
      <c r="I22" s="125">
        <v>75.384615384615387</v>
      </c>
      <c r="J22" s="125">
        <v>24.153846153846153</v>
      </c>
      <c r="K22" s="126">
        <v>5326.0869565217399</v>
      </c>
      <c r="L22" s="126">
        <v>1706.5217391304348</v>
      </c>
      <c r="M22" s="126"/>
      <c r="N22" s="126"/>
      <c r="O22" s="112" t="s">
        <v>1587</v>
      </c>
      <c r="P22" s="112" t="s">
        <v>1588</v>
      </c>
      <c r="Q22" s="127" t="s">
        <v>1589</v>
      </c>
      <c r="R22" s="112" t="s">
        <v>1590</v>
      </c>
      <c r="S22" s="111" t="s">
        <v>1709</v>
      </c>
      <c r="T22" s="128">
        <v>2</v>
      </c>
      <c r="U22" s="128">
        <v>2</v>
      </c>
      <c r="Y22" t="s">
        <v>1587</v>
      </c>
    </row>
    <row r="23" spans="1:25">
      <c r="A23" s="2" t="s">
        <v>1640</v>
      </c>
      <c r="B23" s="254" t="str">
        <f t="shared" si="0"/>
        <v>Imola bílá mat</v>
      </c>
      <c r="C23" s="258">
        <f t="shared" si="1"/>
        <v>780.74</v>
      </c>
      <c r="D23" s="258">
        <f t="shared" si="2"/>
        <v>161.71</v>
      </c>
      <c r="E23" s="23">
        <v>780.74</v>
      </c>
      <c r="F23" s="23">
        <v>161.71</v>
      </c>
      <c r="G23" s="125">
        <v>19.96</v>
      </c>
      <c r="H23" s="125">
        <v>5.05</v>
      </c>
      <c r="I23" s="125">
        <v>116.62</v>
      </c>
      <c r="J23" s="125">
        <v>24.15</v>
      </c>
      <c r="K23" s="126">
        <v>8239</v>
      </c>
      <c r="L23" s="126">
        <v>1707</v>
      </c>
      <c r="M23" s="126"/>
      <c r="N23" s="126"/>
      <c r="O23" s="111" t="s">
        <v>1636</v>
      </c>
      <c r="P23" s="111" t="s">
        <v>1637</v>
      </c>
      <c r="Q23" s="124" t="s">
        <v>1638</v>
      </c>
      <c r="R23" s="111" t="s">
        <v>1639</v>
      </c>
      <c r="S23" s="111" t="s">
        <v>1710</v>
      </c>
      <c r="T23" s="128">
        <v>2</v>
      </c>
      <c r="U23" s="128">
        <v>2</v>
      </c>
    </row>
    <row r="24" spans="1:25">
      <c r="A24" s="2" t="s">
        <v>998</v>
      </c>
      <c r="B24" s="254" t="str">
        <f t="shared" si="0"/>
        <v>Modena (elox.)</v>
      </c>
      <c r="C24" s="258">
        <f t="shared" si="1"/>
        <v>346.08</v>
      </c>
      <c r="D24" s="258">
        <f t="shared" si="2"/>
        <v>150.38</v>
      </c>
      <c r="E24" s="23">
        <v>346.08</v>
      </c>
      <c r="F24" s="23">
        <v>150.38</v>
      </c>
      <c r="G24" s="125">
        <v>9.3020704615384631</v>
      </c>
      <c r="H24" s="125">
        <v>5.0516431730769238</v>
      </c>
      <c r="I24" s="125">
        <v>51.692307692307693</v>
      </c>
      <c r="J24" s="125">
        <v>22.46153846153846</v>
      </c>
      <c r="K24" s="126">
        <v>3652.1739130434789</v>
      </c>
      <c r="L24" s="126">
        <v>1586.9565217391307</v>
      </c>
      <c r="M24" s="126"/>
      <c r="N24" s="126"/>
      <c r="O24" s="112" t="s">
        <v>998</v>
      </c>
      <c r="P24" s="112" t="s">
        <v>998</v>
      </c>
      <c r="Q24" s="127" t="s">
        <v>998</v>
      </c>
      <c r="R24" s="112" t="s">
        <v>998</v>
      </c>
      <c r="S24" s="111" t="s">
        <v>1711</v>
      </c>
      <c r="T24" s="128">
        <v>2</v>
      </c>
      <c r="U24" s="128">
        <v>1</v>
      </c>
      <c r="Y24" t="s">
        <v>998</v>
      </c>
    </row>
    <row r="25" spans="1:25">
      <c r="A25" s="2" t="s">
        <v>1631</v>
      </c>
      <c r="B25" s="254" t="str">
        <f t="shared" si="0"/>
        <v>Modena černá mat</v>
      </c>
      <c r="C25" s="258">
        <f t="shared" si="1"/>
        <v>402.73</v>
      </c>
      <c r="D25" s="258">
        <f t="shared" si="2"/>
        <v>150.38</v>
      </c>
      <c r="E25" s="23">
        <v>402.73</v>
      </c>
      <c r="F25" s="23">
        <v>150.38</v>
      </c>
      <c r="G25" s="125">
        <v>11.755660061538462</v>
      </c>
      <c r="H25" s="125">
        <v>5.0516431730769238</v>
      </c>
      <c r="I25" s="125">
        <v>60.153846153846153</v>
      </c>
      <c r="J25" s="125">
        <v>22.46153846153846</v>
      </c>
      <c r="K25" s="126">
        <v>4250</v>
      </c>
      <c r="L25" s="126">
        <v>1586.9565217391307</v>
      </c>
      <c r="M25" s="126"/>
      <c r="N25" s="126"/>
      <c r="O25" s="112" t="s">
        <v>1599</v>
      </c>
      <c r="P25" s="112" t="s">
        <v>1600</v>
      </c>
      <c r="Q25" s="112" t="s">
        <v>1601</v>
      </c>
      <c r="R25" s="112" t="s">
        <v>1602</v>
      </c>
      <c r="S25" s="111" t="s">
        <v>1712</v>
      </c>
      <c r="T25" s="128">
        <v>2</v>
      </c>
      <c r="U25" s="128">
        <v>1</v>
      </c>
      <c r="Y25" t="s">
        <v>1599</v>
      </c>
    </row>
    <row r="26" spans="1:25">
      <c r="A26" s="2" t="s">
        <v>1632</v>
      </c>
      <c r="B26" s="254" t="str">
        <f t="shared" si="0"/>
        <v>Modena černá lesk</v>
      </c>
      <c r="C26" s="258">
        <f t="shared" si="1"/>
        <v>709.67000000000007</v>
      </c>
      <c r="D26" s="258">
        <f t="shared" si="2"/>
        <v>161.71</v>
      </c>
      <c r="E26" s="23">
        <v>709.67000000000007</v>
      </c>
      <c r="F26" s="23">
        <v>161.71</v>
      </c>
      <c r="G26" s="125">
        <v>20.72</v>
      </c>
      <c r="H26" s="125">
        <v>5.43</v>
      </c>
      <c r="I26" s="125">
        <v>106</v>
      </c>
      <c r="J26" s="125">
        <v>24.15</v>
      </c>
      <c r="K26" s="126">
        <v>7489.13</v>
      </c>
      <c r="L26" s="126">
        <v>1706.57</v>
      </c>
      <c r="M26" s="126"/>
      <c r="N26" s="126"/>
      <c r="O26" s="112" t="s">
        <v>1603</v>
      </c>
      <c r="P26" s="112" t="s">
        <v>1604</v>
      </c>
      <c r="Q26" s="112" t="s">
        <v>1605</v>
      </c>
      <c r="R26" s="112" t="s">
        <v>1606</v>
      </c>
      <c r="S26" s="111" t="s">
        <v>1713</v>
      </c>
      <c r="T26" s="128">
        <v>2</v>
      </c>
      <c r="U26" s="128">
        <v>1</v>
      </c>
    </row>
    <row r="27" spans="1:25">
      <c r="A27" s="2" t="s">
        <v>683</v>
      </c>
      <c r="B27" s="254" t="str">
        <f t="shared" si="0"/>
        <v>Modena černá broušená</v>
      </c>
      <c r="C27" s="258">
        <f t="shared" si="1"/>
        <v>504.7</v>
      </c>
      <c r="D27" s="258">
        <f t="shared" si="2"/>
        <v>150.38</v>
      </c>
      <c r="E27" s="23">
        <v>504.7</v>
      </c>
      <c r="F27" s="23">
        <v>150.38</v>
      </c>
      <c r="G27" s="125">
        <v>11.635247884615385</v>
      </c>
      <c r="H27" s="125">
        <v>5.0516431730769238</v>
      </c>
      <c r="I27" s="125">
        <v>75.384615384615387</v>
      </c>
      <c r="J27" s="125">
        <v>22.46153846153846</v>
      </c>
      <c r="K27" s="126">
        <v>5326.0869565217399</v>
      </c>
      <c r="L27" s="126">
        <v>1586.9565217391307</v>
      </c>
      <c r="M27" s="126"/>
      <c r="N27" s="126"/>
      <c r="O27" s="111" t="s">
        <v>681</v>
      </c>
      <c r="P27" s="111" t="s">
        <v>682</v>
      </c>
      <c r="Q27" s="124" t="s">
        <v>683</v>
      </c>
      <c r="R27" s="111" t="s">
        <v>684</v>
      </c>
      <c r="S27" s="111" t="s">
        <v>1714</v>
      </c>
      <c r="T27" s="128">
        <v>2</v>
      </c>
      <c r="U27" s="128">
        <v>1</v>
      </c>
      <c r="Y27" t="s">
        <v>681</v>
      </c>
    </row>
    <row r="28" spans="1:25">
      <c r="A28" s="2" t="s">
        <v>1397</v>
      </c>
      <c r="B28" s="254" t="str">
        <f t="shared" si="0"/>
        <v>Modena tmavá nerez br. (inox lija)</v>
      </c>
      <c r="C28" s="258">
        <f t="shared" si="1"/>
        <v>508.82</v>
      </c>
      <c r="D28" s="258">
        <f t="shared" si="2"/>
        <v>150.38</v>
      </c>
      <c r="E28" s="23">
        <v>508.82</v>
      </c>
      <c r="F28" s="23">
        <v>150.38</v>
      </c>
      <c r="G28" s="125">
        <v>11.635247884615385</v>
      </c>
      <c r="H28" s="125">
        <v>5.0516431730769238</v>
      </c>
      <c r="I28" s="125">
        <v>76</v>
      </c>
      <c r="J28" s="125">
        <v>22.46153846153846</v>
      </c>
      <c r="K28" s="126">
        <v>5369.5652173913049</v>
      </c>
      <c r="L28" s="126">
        <v>1586.9565217391307</v>
      </c>
      <c r="M28" s="126"/>
      <c r="N28" s="126"/>
      <c r="O28" s="111" t="s">
        <v>1411</v>
      </c>
      <c r="P28" s="111" t="s">
        <v>1412</v>
      </c>
      <c r="Q28" s="124" t="s">
        <v>679</v>
      </c>
      <c r="R28" s="111" t="s">
        <v>680</v>
      </c>
      <c r="S28" s="111" t="s">
        <v>1715</v>
      </c>
      <c r="T28" s="128">
        <v>2</v>
      </c>
      <c r="U28" s="128">
        <v>1</v>
      </c>
      <c r="Y28" t="s">
        <v>1411</v>
      </c>
    </row>
    <row r="29" spans="1:25">
      <c r="A29" s="2" t="s">
        <v>999</v>
      </c>
      <c r="B29" s="254" t="str">
        <f t="shared" si="0"/>
        <v>Palio (elox.)</v>
      </c>
      <c r="C29" s="258">
        <f t="shared" si="1"/>
        <v>380.07</v>
      </c>
      <c r="D29" s="258">
        <f t="shared" si="2"/>
        <v>145.22999999999999</v>
      </c>
      <c r="E29" s="23">
        <v>380.07</v>
      </c>
      <c r="F29" s="23">
        <v>145.22999999999999</v>
      </c>
      <c r="G29" s="125">
        <v>10.319548250000002</v>
      </c>
      <c r="H29" s="125">
        <v>4.6456733653846154</v>
      </c>
      <c r="I29" s="125">
        <v>56.769230769230766</v>
      </c>
      <c r="J29" s="125">
        <v>21.692307692307693</v>
      </c>
      <c r="K29" s="126">
        <v>4010.8695652173915</v>
      </c>
      <c r="L29" s="126">
        <v>1532.608695652174</v>
      </c>
      <c r="M29" s="126"/>
      <c r="N29" s="126"/>
      <c r="O29" s="112" t="s">
        <v>999</v>
      </c>
      <c r="P29" s="111" t="s">
        <v>999</v>
      </c>
      <c r="Q29" s="127" t="s">
        <v>999</v>
      </c>
      <c r="R29" s="111" t="s">
        <v>999</v>
      </c>
      <c r="S29" s="111" t="s">
        <v>1716</v>
      </c>
      <c r="T29" s="128">
        <v>2</v>
      </c>
      <c r="U29" s="128">
        <v>1</v>
      </c>
      <c r="Y29" t="s">
        <v>999</v>
      </c>
    </row>
    <row r="30" spans="1:25">
      <c r="A30" s="2" t="s">
        <v>1000</v>
      </c>
      <c r="B30" s="254" t="str">
        <f t="shared" si="0"/>
        <v>Pisa (elox.)</v>
      </c>
      <c r="C30" s="258">
        <f t="shared" si="1"/>
        <v>370.8</v>
      </c>
      <c r="D30" s="258">
        <f t="shared" si="2"/>
        <v>161.71</v>
      </c>
      <c r="E30" s="23">
        <v>370.8</v>
      </c>
      <c r="F30" s="23">
        <v>161.71</v>
      </c>
      <c r="G30" s="125">
        <v>9.3470080000000024</v>
      </c>
      <c r="H30" s="125">
        <v>5.1473907692307694</v>
      </c>
      <c r="I30" s="125">
        <v>55.384615384615387</v>
      </c>
      <c r="J30" s="125">
        <v>24.153846153846153</v>
      </c>
      <c r="K30" s="126">
        <v>3913.0434782608695</v>
      </c>
      <c r="L30" s="126">
        <v>1706.5217391304348</v>
      </c>
      <c r="M30" s="126"/>
      <c r="N30" s="126"/>
      <c r="O30" s="112" t="s">
        <v>1000</v>
      </c>
      <c r="P30" s="111" t="s">
        <v>1000</v>
      </c>
      <c r="Q30" s="127" t="s">
        <v>1000</v>
      </c>
      <c r="R30" s="111" t="s">
        <v>1000</v>
      </c>
      <c r="S30" s="111" t="s">
        <v>1717</v>
      </c>
      <c r="T30" s="128">
        <v>2</v>
      </c>
      <c r="U30" s="128">
        <v>2</v>
      </c>
      <c r="Y30" t="s">
        <v>1000</v>
      </c>
    </row>
    <row r="31" spans="1:25">
      <c r="A31" s="2" t="s">
        <v>1593</v>
      </c>
      <c r="B31" s="254" t="str">
        <f t="shared" si="0"/>
        <v>Pisa černá mat</v>
      </c>
      <c r="C31" s="258">
        <f t="shared" si="1"/>
        <v>469.68</v>
      </c>
      <c r="D31" s="258">
        <f t="shared" si="2"/>
        <v>161.71</v>
      </c>
      <c r="E31" s="23">
        <v>469.68</v>
      </c>
      <c r="F31" s="23">
        <v>161.71</v>
      </c>
      <c r="G31" s="125">
        <v>11.650720696153847</v>
      </c>
      <c r="H31" s="125">
        <v>5.1473907692307694</v>
      </c>
      <c r="I31" s="125">
        <v>70.15384615384616</v>
      </c>
      <c r="J31" s="125">
        <v>24.153846153846153</v>
      </c>
      <c r="K31" s="126">
        <v>4956.521739130435</v>
      </c>
      <c r="L31" s="126">
        <v>1706.5217391304348</v>
      </c>
      <c r="M31" s="126"/>
      <c r="N31" s="126"/>
      <c r="O31" s="112" t="s">
        <v>1591</v>
      </c>
      <c r="P31" s="112" t="s">
        <v>1592</v>
      </c>
      <c r="Q31" s="112" t="s">
        <v>1593</v>
      </c>
      <c r="R31" s="112" t="s">
        <v>1594</v>
      </c>
      <c r="S31" s="111" t="s">
        <v>1718</v>
      </c>
      <c r="T31" s="128">
        <v>2</v>
      </c>
      <c r="U31" s="128">
        <v>2</v>
      </c>
      <c r="Y31" t="s">
        <v>1591</v>
      </c>
    </row>
    <row r="32" spans="1:25">
      <c r="A32" s="2" t="s">
        <v>1635</v>
      </c>
      <c r="B32" s="254" t="str">
        <f t="shared" si="0"/>
        <v>Pisa černá lesk</v>
      </c>
      <c r="C32" s="258">
        <f t="shared" si="1"/>
        <v>709.67000000000007</v>
      </c>
      <c r="D32" s="258">
        <f t="shared" si="2"/>
        <v>161.71</v>
      </c>
      <c r="E32" s="23">
        <v>709.67000000000007</v>
      </c>
      <c r="F32" s="23">
        <v>161.71</v>
      </c>
      <c r="G32" s="125">
        <v>20.72</v>
      </c>
      <c r="H32" s="125">
        <v>5.15</v>
      </c>
      <c r="I32" s="125">
        <v>106</v>
      </c>
      <c r="J32" s="125">
        <v>24.15</v>
      </c>
      <c r="K32" s="126">
        <v>7489</v>
      </c>
      <c r="L32" s="126">
        <v>1707</v>
      </c>
      <c r="M32" s="126"/>
      <c r="N32" s="126"/>
      <c r="O32" s="112" t="s">
        <v>1595</v>
      </c>
      <c r="P32" s="112" t="s">
        <v>1596</v>
      </c>
      <c r="Q32" s="112" t="s">
        <v>1597</v>
      </c>
      <c r="R32" s="112" t="s">
        <v>1598</v>
      </c>
      <c r="S32" s="111" t="s">
        <v>1719</v>
      </c>
      <c r="T32" s="128">
        <v>2</v>
      </c>
      <c r="U32" s="128">
        <v>2</v>
      </c>
    </row>
    <row r="33" spans="1:25">
      <c r="A33" s="2" t="s">
        <v>1001</v>
      </c>
      <c r="B33" s="254" t="str">
        <f t="shared" si="0"/>
        <v>Ravena (elox.)</v>
      </c>
      <c r="C33" s="258">
        <f t="shared" si="1"/>
        <v>278.10000000000002</v>
      </c>
      <c r="D33" s="258">
        <f t="shared" si="2"/>
        <v>112.27</v>
      </c>
      <c r="E33" s="23">
        <v>278.10000000000002</v>
      </c>
      <c r="F33" s="23">
        <v>112.27</v>
      </c>
      <c r="G33" s="125">
        <v>8.5713248076923083</v>
      </c>
      <c r="H33" s="125">
        <v>3.4277639423076924</v>
      </c>
      <c r="I33" s="125">
        <v>41.53846153846154</v>
      </c>
      <c r="J33" s="125">
        <v>16.76923076923077</v>
      </c>
      <c r="K33" s="126">
        <v>2934.7826086956525</v>
      </c>
      <c r="L33" s="126">
        <v>1184.7826086956522</v>
      </c>
      <c r="M33" s="126"/>
      <c r="N33" s="126"/>
      <c r="O33" s="112" t="s">
        <v>1413</v>
      </c>
      <c r="P33" s="112" t="s">
        <v>1001</v>
      </c>
      <c r="Q33" s="112" t="s">
        <v>1001</v>
      </c>
      <c r="R33" s="112" t="s">
        <v>1001</v>
      </c>
      <c r="S33" s="111" t="s">
        <v>1720</v>
      </c>
      <c r="T33" s="128">
        <v>1</v>
      </c>
      <c r="U33" s="128">
        <v>1</v>
      </c>
      <c r="Y33" t="s">
        <v>1413</v>
      </c>
    </row>
    <row r="34" spans="1:25">
      <c r="A34" s="2" t="s">
        <v>1002</v>
      </c>
      <c r="B34" s="254" t="str">
        <f t="shared" si="0"/>
        <v>Siena (elox.)</v>
      </c>
      <c r="C34" s="258">
        <f t="shared" si="1"/>
        <v>380.07</v>
      </c>
      <c r="D34" s="258">
        <f t="shared" si="2"/>
        <v>145.22999999999999</v>
      </c>
      <c r="E34" s="23">
        <v>380.07</v>
      </c>
      <c r="F34" s="23">
        <v>145.22999999999999</v>
      </c>
      <c r="G34" s="125">
        <v>10.319548250000002</v>
      </c>
      <c r="H34" s="125">
        <v>4.6456733653846154</v>
      </c>
      <c r="I34" s="125">
        <v>56.769230769230766</v>
      </c>
      <c r="J34" s="125">
        <v>21.692307692307693</v>
      </c>
      <c r="K34" s="126">
        <v>4010.8695652173915</v>
      </c>
      <c r="L34" s="126">
        <v>1532.608695652174</v>
      </c>
      <c r="M34" s="126"/>
      <c r="N34" s="126"/>
      <c r="O34" s="112" t="s">
        <v>1002</v>
      </c>
      <c r="P34" s="112" t="s">
        <v>1002</v>
      </c>
      <c r="Q34" s="112" t="s">
        <v>1002</v>
      </c>
      <c r="R34" s="112" t="s">
        <v>1002</v>
      </c>
      <c r="S34" s="111" t="s">
        <v>1721</v>
      </c>
      <c r="T34" s="128">
        <v>2</v>
      </c>
      <c r="U34" s="128">
        <v>1</v>
      </c>
      <c r="Y34" t="s">
        <v>1002</v>
      </c>
    </row>
    <row r="35" spans="1:25">
      <c r="A35" s="2" t="s">
        <v>1003</v>
      </c>
      <c r="B35" s="254" t="str">
        <f t="shared" si="0"/>
        <v>Verona (elox.)</v>
      </c>
      <c r="C35" s="258">
        <f t="shared" si="1"/>
        <v>257.5</v>
      </c>
      <c r="D35" s="258">
        <f t="shared" si="2"/>
        <v>92.7</v>
      </c>
      <c r="E35" s="23">
        <v>257.5</v>
      </c>
      <c r="F35" s="23">
        <v>92.7</v>
      </c>
      <c r="G35" s="125">
        <v>6.2856381923076921</v>
      </c>
      <c r="H35" s="125">
        <v>3.4277639423076924</v>
      </c>
      <c r="I35" s="125">
        <v>38.46153846153846</v>
      </c>
      <c r="J35" s="125">
        <v>13.846153846153847</v>
      </c>
      <c r="K35" s="126">
        <v>2717.391304347826</v>
      </c>
      <c r="L35" s="126">
        <v>978.26086956521738</v>
      </c>
      <c r="M35" s="126"/>
      <c r="N35" s="126"/>
      <c r="O35" s="112" t="s">
        <v>1003</v>
      </c>
      <c r="P35" s="112" t="s">
        <v>1003</v>
      </c>
      <c r="Q35" s="112" t="s">
        <v>1003</v>
      </c>
      <c r="R35" s="112" t="s">
        <v>1003</v>
      </c>
      <c r="S35" s="111" t="s">
        <v>1722</v>
      </c>
      <c r="T35" s="128">
        <v>1</v>
      </c>
      <c r="U35" s="128">
        <v>1</v>
      </c>
      <c r="Y35" t="s">
        <v>1003</v>
      </c>
    </row>
    <row r="36" spans="1:25">
      <c r="A36" s="2" t="s">
        <v>694</v>
      </c>
      <c r="B36" s="254" t="str">
        <f t="shared" si="0"/>
        <v>Verona broušený hliník</v>
      </c>
      <c r="C36" s="258">
        <f t="shared" si="1"/>
        <v>447.02000000000004</v>
      </c>
      <c r="D36" s="258">
        <f t="shared" si="2"/>
        <v>112.27</v>
      </c>
      <c r="E36" s="23">
        <v>447.02000000000004</v>
      </c>
      <c r="F36" s="23">
        <v>112.27</v>
      </c>
      <c r="G36" s="125">
        <v>9.485395192307692</v>
      </c>
      <c r="H36" s="125">
        <v>3.4277639423076924</v>
      </c>
      <c r="I36" s="125">
        <v>66.769230769230774</v>
      </c>
      <c r="J36" s="125">
        <v>16.76923076923077</v>
      </c>
      <c r="K36" s="126">
        <v>4717.3913043478269</v>
      </c>
      <c r="L36" s="126">
        <v>1184.7826086956522</v>
      </c>
      <c r="M36" s="126"/>
      <c r="N36" s="126"/>
      <c r="O36" s="112" t="s">
        <v>1414</v>
      </c>
      <c r="P36" s="112" t="s">
        <v>693</v>
      </c>
      <c r="Q36" s="112" t="s">
        <v>694</v>
      </c>
      <c r="R36" s="112" t="s">
        <v>695</v>
      </c>
      <c r="S36" s="111" t="s">
        <v>1723</v>
      </c>
      <c r="T36" s="128">
        <v>1</v>
      </c>
      <c r="U36" s="128">
        <v>1</v>
      </c>
      <c r="Y36" t="s">
        <v>1414</v>
      </c>
    </row>
    <row r="37" spans="1:25">
      <c r="A37" s="2" t="s">
        <v>691</v>
      </c>
      <c r="B37" s="254" t="str">
        <f t="shared" si="0"/>
        <v>Verona černá lesk</v>
      </c>
      <c r="C37" s="258">
        <f t="shared" si="1"/>
        <v>373.89</v>
      </c>
      <c r="D37" s="258">
        <f t="shared" si="2"/>
        <v>112.27</v>
      </c>
      <c r="E37" s="23">
        <v>373.89</v>
      </c>
      <c r="F37" s="23">
        <v>112.27</v>
      </c>
      <c r="G37" s="125">
        <v>8.7122652692307696</v>
      </c>
      <c r="H37" s="125">
        <v>3.4277639423076924</v>
      </c>
      <c r="I37" s="125">
        <v>55.846153846153847</v>
      </c>
      <c r="J37" s="125">
        <v>16.76923076923077</v>
      </c>
      <c r="K37" s="126">
        <v>3945.652173913044</v>
      </c>
      <c r="L37" s="126">
        <v>1184.7826086956522</v>
      </c>
      <c r="M37" s="126"/>
      <c r="N37" s="126"/>
      <c r="O37" s="112" t="s">
        <v>689</v>
      </c>
      <c r="P37" s="112" t="s">
        <v>690</v>
      </c>
      <c r="Q37" s="112" t="s">
        <v>691</v>
      </c>
      <c r="R37" s="112" t="s">
        <v>692</v>
      </c>
      <c r="S37" s="111" t="s">
        <v>1724</v>
      </c>
      <c r="T37" s="128">
        <v>1</v>
      </c>
      <c r="U37" s="128">
        <v>1</v>
      </c>
      <c r="Y37" t="s">
        <v>689</v>
      </c>
    </row>
    <row r="38" spans="1:25">
      <c r="A38" s="2" t="s">
        <v>1398</v>
      </c>
      <c r="B38" s="254" t="str">
        <f t="shared" si="0"/>
        <v>Verona černá mat</v>
      </c>
      <c r="C38" s="258">
        <f t="shared" si="1"/>
        <v>373.89</v>
      </c>
      <c r="D38" s="258">
        <f t="shared" si="2"/>
        <v>112.27</v>
      </c>
      <c r="E38" s="23">
        <v>373.89</v>
      </c>
      <c r="F38" s="23">
        <v>112.27</v>
      </c>
      <c r="G38" s="125">
        <v>8.7122652692307696</v>
      </c>
      <c r="H38" s="125">
        <v>3.4277639423076924</v>
      </c>
      <c r="I38" s="125">
        <v>55.846153846153847</v>
      </c>
      <c r="J38" s="125">
        <v>16.76923076923077</v>
      </c>
      <c r="K38" s="126">
        <v>3945.652173913044</v>
      </c>
      <c r="L38" s="126">
        <v>1184.7826086956522</v>
      </c>
      <c r="M38" s="126"/>
      <c r="N38" s="126"/>
      <c r="O38" s="112" t="s">
        <v>1575</v>
      </c>
      <c r="P38" s="112" t="s">
        <v>1576</v>
      </c>
      <c r="Q38" s="112" t="s">
        <v>1577</v>
      </c>
      <c r="R38" s="112" t="s">
        <v>1578</v>
      </c>
      <c r="S38" s="111" t="s">
        <v>1725</v>
      </c>
      <c r="T38" s="128">
        <v>1</v>
      </c>
      <c r="U38" s="128">
        <v>1</v>
      </c>
      <c r="Y38" t="s">
        <v>1575</v>
      </c>
    </row>
    <row r="39" spans="1:25">
      <c r="A39" s="2" t="s">
        <v>1399</v>
      </c>
      <c r="B39" s="254" t="str">
        <f t="shared" si="0"/>
        <v>Verona hnědá</v>
      </c>
      <c r="C39" s="258">
        <f t="shared" si="1"/>
        <v>373.89</v>
      </c>
      <c r="D39" s="258">
        <f t="shared" si="2"/>
        <v>112.27</v>
      </c>
      <c r="E39" s="23">
        <v>373.89</v>
      </c>
      <c r="F39" s="23">
        <v>112.27</v>
      </c>
      <c r="G39" s="125">
        <v>8.7122652692307696</v>
      </c>
      <c r="H39" s="125">
        <v>3.4277639423076924</v>
      </c>
      <c r="I39" s="125">
        <v>55.846153846153847</v>
      </c>
      <c r="J39" s="125">
        <v>16.76923076923077</v>
      </c>
      <c r="K39" s="126">
        <v>3945.652173913044</v>
      </c>
      <c r="L39" s="126">
        <v>1184.7826086956522</v>
      </c>
      <c r="M39" s="126"/>
      <c r="N39" s="126"/>
      <c r="O39" s="111" t="s">
        <v>1415</v>
      </c>
      <c r="P39" s="111" t="s">
        <v>1415</v>
      </c>
      <c r="Q39" s="111" t="s">
        <v>1416</v>
      </c>
      <c r="R39" s="111" t="s">
        <v>1417</v>
      </c>
      <c r="S39" s="111" t="s">
        <v>1726</v>
      </c>
      <c r="T39" s="128">
        <v>1</v>
      </c>
      <c r="U39" s="128">
        <v>1</v>
      </c>
      <c r="Y39" t="s">
        <v>1415</v>
      </c>
    </row>
    <row r="40" spans="1:25">
      <c r="A40" s="2" t="s">
        <v>687</v>
      </c>
      <c r="B40" s="254" t="str">
        <f t="shared" si="0"/>
        <v>Verona champagne</v>
      </c>
      <c r="C40" s="258">
        <f t="shared" si="1"/>
        <v>346.08</v>
      </c>
      <c r="D40" s="258">
        <f t="shared" si="2"/>
        <v>112.27</v>
      </c>
      <c r="E40" s="23">
        <v>346.08</v>
      </c>
      <c r="F40" s="23">
        <v>112.27</v>
      </c>
      <c r="G40" s="125">
        <v>8.0915655192307696</v>
      </c>
      <c r="H40" s="125">
        <v>3.4277639423076924</v>
      </c>
      <c r="I40" s="125">
        <v>51.692307692307693</v>
      </c>
      <c r="J40" s="125">
        <v>16.76923076923077</v>
      </c>
      <c r="K40" s="126">
        <v>3652.1739130434789</v>
      </c>
      <c r="L40" s="126">
        <v>1184.7826086956522</v>
      </c>
      <c r="M40" s="126"/>
      <c r="N40" s="126"/>
      <c r="O40" s="111" t="s">
        <v>686</v>
      </c>
      <c r="P40" s="111" t="s">
        <v>686</v>
      </c>
      <c r="Q40" s="111" t="s">
        <v>687</v>
      </c>
      <c r="R40" s="111" t="s">
        <v>688</v>
      </c>
      <c r="S40" s="111" t="s">
        <v>686</v>
      </c>
      <c r="T40" s="128">
        <v>1</v>
      </c>
      <c r="U40" s="128">
        <v>1</v>
      </c>
      <c r="Y40" t="s">
        <v>686</v>
      </c>
    </row>
    <row r="41" spans="1:25">
      <c r="A41" s="2" t="s">
        <v>697</v>
      </c>
      <c r="B41" s="254" t="str">
        <f t="shared" si="0"/>
        <v>Verona tmavá nerez broušená</v>
      </c>
      <c r="C41" s="258">
        <f t="shared" si="1"/>
        <v>458.35</v>
      </c>
      <c r="D41" s="258">
        <f t="shared" si="2"/>
        <v>112.27</v>
      </c>
      <c r="E41" s="23">
        <v>458.35</v>
      </c>
      <c r="F41" s="23">
        <v>112.27</v>
      </c>
      <c r="G41" s="125">
        <v>9.7560417307692315</v>
      </c>
      <c r="H41" s="125">
        <v>3.4277639423076924</v>
      </c>
      <c r="I41" s="125">
        <v>68.461538461538467</v>
      </c>
      <c r="J41" s="125">
        <v>16.76923076923077</v>
      </c>
      <c r="K41" s="126">
        <v>4836.95652173913</v>
      </c>
      <c r="L41" s="126">
        <v>1184.7826086956522</v>
      </c>
      <c r="M41" s="126"/>
      <c r="N41" s="126"/>
      <c r="O41" s="112" t="s">
        <v>1418</v>
      </c>
      <c r="P41" s="112" t="s">
        <v>696</v>
      </c>
      <c r="Q41" s="112" t="s">
        <v>697</v>
      </c>
      <c r="R41" s="112" t="s">
        <v>698</v>
      </c>
      <c r="S41" s="111" t="s">
        <v>1727</v>
      </c>
      <c r="T41" s="128">
        <v>1</v>
      </c>
      <c r="U41" s="128">
        <v>1</v>
      </c>
      <c r="Y41" t="s">
        <v>1418</v>
      </c>
    </row>
    <row r="42" spans="1:25">
      <c r="A42" s="2" t="s">
        <v>1400</v>
      </c>
      <c r="B42" s="254" t="str">
        <f t="shared" si="0"/>
        <v>Verona světlá nerez (Acier grata)</v>
      </c>
      <c r="C42" s="258">
        <f t="shared" si="1"/>
        <v>458.35</v>
      </c>
      <c r="D42" s="258">
        <f t="shared" si="2"/>
        <v>112.27</v>
      </c>
      <c r="E42" s="23">
        <v>458.35</v>
      </c>
      <c r="F42" s="23">
        <v>112.27</v>
      </c>
      <c r="G42" s="125">
        <v>9.4649690384615397</v>
      </c>
      <c r="H42" s="125">
        <v>3.4277639423076924</v>
      </c>
      <c r="I42" s="125">
        <v>68.461538461538467</v>
      </c>
      <c r="J42" s="125">
        <v>16.76923076923077</v>
      </c>
      <c r="K42" s="126">
        <v>4836.95652173913</v>
      </c>
      <c r="L42" s="126">
        <v>1184.7826086956522</v>
      </c>
      <c r="M42" s="126"/>
      <c r="N42" s="126"/>
      <c r="O42" s="112" t="s">
        <v>1419</v>
      </c>
      <c r="P42" s="112" t="s">
        <v>1420</v>
      </c>
      <c r="Q42" s="112" t="s">
        <v>1421</v>
      </c>
      <c r="R42" s="112" t="s">
        <v>1422</v>
      </c>
      <c r="S42" s="111" t="s">
        <v>1728</v>
      </c>
      <c r="T42" s="128">
        <v>1</v>
      </c>
      <c r="U42" s="128">
        <v>1</v>
      </c>
      <c r="Y42" t="s">
        <v>1419</v>
      </c>
    </row>
    <row r="43" spans="1:25">
      <c r="A43" s="2" t="s">
        <v>1004</v>
      </c>
      <c r="B43" s="254" t="str">
        <f t="shared" si="0"/>
        <v>Vivaro (elox.)</v>
      </c>
      <c r="C43" s="258">
        <f t="shared" si="1"/>
        <v>373.89</v>
      </c>
      <c r="D43" s="258">
        <f t="shared" si="2"/>
        <v>156.56</v>
      </c>
      <c r="E43" s="23">
        <v>373.89</v>
      </c>
      <c r="F43" s="23">
        <v>156.56</v>
      </c>
      <c r="G43" s="125">
        <v>10.235647823076922</v>
      </c>
      <c r="H43" s="125">
        <v>5.0516431730769238</v>
      </c>
      <c r="I43" s="125">
        <v>55.846153846153847</v>
      </c>
      <c r="J43" s="125">
        <v>23.384615384615383</v>
      </c>
      <c r="K43" s="126">
        <v>3945.652173913044</v>
      </c>
      <c r="L43" s="126">
        <v>1652.1739130434785</v>
      </c>
      <c r="M43" s="126"/>
      <c r="N43" s="126"/>
      <c r="O43" s="112" t="s">
        <v>1004</v>
      </c>
      <c r="P43" s="112" t="s">
        <v>1004</v>
      </c>
      <c r="Q43" s="112" t="s">
        <v>1004</v>
      </c>
      <c r="R43" s="112" t="s">
        <v>1004</v>
      </c>
      <c r="S43" s="111" t="s">
        <v>1729</v>
      </c>
      <c r="T43" s="128">
        <v>2</v>
      </c>
      <c r="U43" s="128">
        <v>1</v>
      </c>
      <c r="Y43" t="s">
        <v>1004</v>
      </c>
    </row>
    <row r="44" spans="1:25">
      <c r="A44" s="2" t="s">
        <v>1005</v>
      </c>
      <c r="B44" s="254" t="str">
        <f t="shared" si="0"/>
        <v>Vivaro černá mat</v>
      </c>
      <c r="C44" s="258">
        <f t="shared" si="1"/>
        <v>473.8</v>
      </c>
      <c r="D44" s="258">
        <f t="shared" si="2"/>
        <v>156.56</v>
      </c>
      <c r="E44" s="23">
        <v>473.8</v>
      </c>
      <c r="F44" s="23">
        <v>156.56</v>
      </c>
      <c r="G44" s="125">
        <v>14.810238173076923</v>
      </c>
      <c r="H44" s="125">
        <v>5.0516431730769238</v>
      </c>
      <c r="I44" s="125">
        <v>70.769230769230774</v>
      </c>
      <c r="J44" s="125">
        <v>23.384615384615383</v>
      </c>
      <c r="K44" s="126">
        <v>5000.0000000000009</v>
      </c>
      <c r="L44" s="126">
        <v>1652.1739130434785</v>
      </c>
      <c r="M44" s="126"/>
      <c r="N44" s="126"/>
      <c r="O44" s="112" t="s">
        <v>1583</v>
      </c>
      <c r="P44" s="112" t="s">
        <v>1584</v>
      </c>
      <c r="Q44" s="112" t="s">
        <v>1585</v>
      </c>
      <c r="R44" s="112" t="s">
        <v>1586</v>
      </c>
      <c r="S44" s="111" t="s">
        <v>1730</v>
      </c>
      <c r="T44" s="128">
        <v>2</v>
      </c>
      <c r="U44" s="128">
        <v>1</v>
      </c>
      <c r="Y44" t="s">
        <v>1583</v>
      </c>
    </row>
    <row r="45" spans="1:25">
      <c r="A45" s="2" t="s">
        <v>700</v>
      </c>
      <c r="B45" s="254" t="str">
        <f t="shared" si="0"/>
        <v>Vivaro tmavá nerez br. (inox lija)</v>
      </c>
      <c r="C45" s="258">
        <f t="shared" si="1"/>
        <v>525.30000000000007</v>
      </c>
      <c r="D45" s="258">
        <f t="shared" si="2"/>
        <v>156.56</v>
      </c>
      <c r="E45" s="23">
        <v>525.30000000000007</v>
      </c>
      <c r="F45" s="23">
        <v>156.56</v>
      </c>
      <c r="G45" s="125">
        <v>13.170784000000003</v>
      </c>
      <c r="H45" s="125">
        <v>5.0516431730769238</v>
      </c>
      <c r="I45" s="125">
        <v>78.461538461538467</v>
      </c>
      <c r="J45" s="125">
        <v>23.384615384615383</v>
      </c>
      <c r="K45" s="126">
        <v>5543.4782608695659</v>
      </c>
      <c r="L45" s="126">
        <v>1652.1739130434785</v>
      </c>
      <c r="M45" s="126"/>
      <c r="N45" s="126"/>
      <c r="O45" s="112" t="s">
        <v>1423</v>
      </c>
      <c r="P45" s="112" t="s">
        <v>1423</v>
      </c>
      <c r="Q45" s="112" t="s">
        <v>700</v>
      </c>
      <c r="R45" s="112" t="s">
        <v>701</v>
      </c>
      <c r="S45" s="111" t="s">
        <v>1731</v>
      </c>
      <c r="T45" s="128">
        <v>2</v>
      </c>
      <c r="U45" s="128">
        <v>1</v>
      </c>
      <c r="Y45" t="s">
        <v>1423</v>
      </c>
    </row>
    <row r="46" spans="1:25">
      <c r="A46" s="2" t="s">
        <v>1625</v>
      </c>
      <c r="B46" s="254" t="str">
        <f t="shared" si="0"/>
        <v>Vivaro bílá mat</v>
      </c>
      <c r="C46" s="258">
        <f t="shared" si="1"/>
        <v>473.8</v>
      </c>
      <c r="D46" s="258">
        <f t="shared" si="2"/>
        <v>156.56</v>
      </c>
      <c r="E46" s="23">
        <v>473.8</v>
      </c>
      <c r="F46" s="23">
        <v>156.56</v>
      </c>
      <c r="G46" s="125">
        <v>14.810238173076923</v>
      </c>
      <c r="H46" s="125">
        <v>5.0516431730769238</v>
      </c>
      <c r="I46" s="125">
        <v>70.769230769230774</v>
      </c>
      <c r="J46" s="125">
        <v>23.384615384615383</v>
      </c>
      <c r="K46" s="126">
        <v>5000.0000000000009</v>
      </c>
      <c r="L46" s="126">
        <v>1652.1739130434785</v>
      </c>
      <c r="M46" s="126"/>
      <c r="N46" s="126"/>
      <c r="O46" s="111" t="s">
        <v>1623</v>
      </c>
      <c r="P46" s="111" t="s">
        <v>1624</v>
      </c>
      <c r="Q46" s="124" t="s">
        <v>1625</v>
      </c>
      <c r="R46" s="111" t="s">
        <v>1626</v>
      </c>
      <c r="S46" s="111" t="s">
        <v>1732</v>
      </c>
      <c r="T46" s="128">
        <v>2</v>
      </c>
      <c r="U46" s="128">
        <v>1</v>
      </c>
    </row>
    <row r="47" spans="1:25">
      <c r="A47" s="2" t="s">
        <v>1629</v>
      </c>
      <c r="B47" s="254" t="str">
        <f t="shared" si="0"/>
        <v>Vivaro bílá lesk</v>
      </c>
      <c r="C47" s="258">
        <f t="shared" si="1"/>
        <v>473.8</v>
      </c>
      <c r="D47" s="258">
        <f t="shared" si="2"/>
        <v>156.56</v>
      </c>
      <c r="E47" s="23">
        <v>473.8</v>
      </c>
      <c r="F47" s="23">
        <v>156.56</v>
      </c>
      <c r="G47" s="125">
        <v>14.81</v>
      </c>
      <c r="H47" s="125">
        <v>5.05</v>
      </c>
      <c r="I47" s="125">
        <v>70.77</v>
      </c>
      <c r="J47" s="125">
        <v>23.38</v>
      </c>
      <c r="K47" s="126">
        <v>5000</v>
      </c>
      <c r="L47" s="126">
        <v>1652</v>
      </c>
      <c r="M47" s="126"/>
      <c r="N47" s="126"/>
      <c r="O47" s="111" t="s">
        <v>1627</v>
      </c>
      <c r="P47" s="111" t="s">
        <v>1628</v>
      </c>
      <c r="Q47" s="124" t="s">
        <v>1629</v>
      </c>
      <c r="R47" s="111" t="s">
        <v>1630</v>
      </c>
      <c r="S47" s="111" t="s">
        <v>1733</v>
      </c>
      <c r="T47" s="128">
        <v>2</v>
      </c>
      <c r="U47" s="128">
        <v>1</v>
      </c>
      <c r="Y47" t="s">
        <v>1627</v>
      </c>
    </row>
    <row r="48" spans="1:25">
      <c r="S48" s="111"/>
    </row>
    <row r="49" spans="2:19">
      <c r="B49" s="2"/>
      <c r="C49" s="2"/>
      <c r="D49" s="2"/>
      <c r="E49" s="2"/>
      <c r="F49" s="2"/>
      <c r="G49" s="2"/>
      <c r="H49" s="2"/>
      <c r="I49" s="2"/>
      <c r="J49" s="2"/>
      <c r="K49" s="2"/>
      <c r="L49" s="2"/>
      <c r="M49" s="2"/>
      <c r="N49" s="2"/>
      <c r="S49" s="111"/>
    </row>
    <row r="50" spans="2:19">
      <c r="B50" s="2"/>
      <c r="C50" s="2"/>
      <c r="D50" s="2"/>
      <c r="E50" s="2"/>
      <c r="F50" s="2"/>
      <c r="G50" s="2"/>
      <c r="H50" s="2"/>
      <c r="I50" s="2"/>
      <c r="J50" s="2"/>
      <c r="K50" s="2"/>
      <c r="L50" s="2"/>
      <c r="M50" s="2"/>
      <c r="N50" s="2"/>
      <c r="S50" s="111"/>
    </row>
    <row r="51" spans="2:19">
      <c r="B51" s="6" t="s">
        <v>19</v>
      </c>
      <c r="C51" s="1019" t="s">
        <v>43</v>
      </c>
      <c r="D51" s="1019"/>
      <c r="E51" s="1019" t="s">
        <v>43</v>
      </c>
      <c r="F51" s="1019"/>
      <c r="G51" s="1019" t="s">
        <v>43</v>
      </c>
      <c r="H51" s="1019"/>
      <c r="I51" s="1019" t="s">
        <v>43</v>
      </c>
      <c r="J51" s="1019"/>
      <c r="K51" s="1019" t="s">
        <v>43</v>
      </c>
      <c r="L51" s="1038"/>
      <c r="M51" s="257"/>
      <c r="N51" s="257"/>
      <c r="S51" s="111"/>
    </row>
    <row r="52" spans="2:19">
      <c r="B52" s="254" t="str">
        <f t="shared" ref="B52:B83" si="3">IF($D$1=1,O:O,IF($D$1=2,P:P,IF($D$1=3,Q:Q,IF($D$1=4,R:R,IF($D$1=5,S:S)))))</f>
        <v>Čiré</v>
      </c>
      <c r="C52" s="1020">
        <f t="shared" ref="C52:C83" si="4">IF($D$1=1,E:E,IF($D$1=2,G:G,IF($D$1=3,I:I,IF($D$1=4,K:K,IF($D$1=5,M:M)))))</f>
        <v>504.7</v>
      </c>
      <c r="D52" s="1020">
        <f>IF($D$1=1,F52,IF($D$1=2,H52,IF($D$1=3,J52,IF($D$1=4,L52,0))))</f>
        <v>0</v>
      </c>
      <c r="E52" s="1039">
        <v>504.7</v>
      </c>
      <c r="F52" s="1040"/>
      <c r="G52" s="1032">
        <v>19.600000000000001</v>
      </c>
      <c r="H52" s="1033"/>
      <c r="I52" s="1032">
        <v>75.384615384615387</v>
      </c>
      <c r="J52" s="1033"/>
      <c r="K52" s="1034">
        <v>4508</v>
      </c>
      <c r="L52" s="1035"/>
      <c r="M52" s="259"/>
      <c r="N52" s="259"/>
      <c r="O52" s="101" t="s">
        <v>710</v>
      </c>
      <c r="P52" s="102" t="s">
        <v>711</v>
      </c>
      <c r="Q52" s="102" t="s">
        <v>712</v>
      </c>
      <c r="R52" s="103" t="s">
        <v>713</v>
      </c>
      <c r="S52" s="111" t="s">
        <v>1734</v>
      </c>
    </row>
    <row r="53" spans="2:19">
      <c r="B53" s="254" t="str">
        <f t="shared" si="3"/>
        <v>Čiré kalené (dodání 3 týdny)</v>
      </c>
      <c r="C53" s="1020">
        <f t="shared" si="4"/>
        <v>1019.7</v>
      </c>
      <c r="D53" s="1020">
        <f t="shared" ref="D53:D112" si="5">IF($D$1=1,F53,IF($D$1=2,H53,IF($D$1=3,J53,IF($D$1=4,L53,0))))</f>
        <v>0</v>
      </c>
      <c r="E53" s="1004">
        <v>1019.7</v>
      </c>
      <c r="F53" s="1005"/>
      <c r="G53" s="1036">
        <v>39.6</v>
      </c>
      <c r="H53" s="1037"/>
      <c r="I53" s="1036">
        <v>152.30769230769232</v>
      </c>
      <c r="J53" s="1037"/>
      <c r="K53" s="1034">
        <v>9108</v>
      </c>
      <c r="L53" s="1035"/>
      <c r="M53" s="259"/>
      <c r="N53" s="259"/>
      <c r="O53" s="101" t="s">
        <v>955</v>
      </c>
      <c r="P53" s="102" t="s">
        <v>956</v>
      </c>
      <c r="Q53" s="102" t="s">
        <v>957</v>
      </c>
      <c r="R53" s="103" t="s">
        <v>967</v>
      </c>
      <c r="S53" s="111" t="s">
        <v>1735</v>
      </c>
    </row>
    <row r="54" spans="2:19">
      <c r="B54" s="254" t="str">
        <f t="shared" si="3"/>
        <v>Satinato</v>
      </c>
      <c r="C54" s="1020">
        <f t="shared" si="4"/>
        <v>1442</v>
      </c>
      <c r="D54" s="1020">
        <f t="shared" si="5"/>
        <v>0</v>
      </c>
      <c r="E54" s="1004">
        <v>1442</v>
      </c>
      <c r="F54" s="1005"/>
      <c r="G54" s="1029">
        <v>56</v>
      </c>
      <c r="H54" s="1029"/>
      <c r="I54" s="1029">
        <v>215.38461538461539</v>
      </c>
      <c r="J54" s="1029"/>
      <c r="K54" s="1030">
        <v>12879.999999999998</v>
      </c>
      <c r="L54" s="1031"/>
      <c r="M54" s="260"/>
      <c r="N54" s="260"/>
      <c r="O54" s="8" t="s">
        <v>715</v>
      </c>
      <c r="P54" s="99" t="s">
        <v>715</v>
      </c>
      <c r="Q54" s="99" t="s">
        <v>715</v>
      </c>
      <c r="R54" s="100" t="s">
        <v>715</v>
      </c>
      <c r="S54" s="111" t="s">
        <v>715</v>
      </c>
    </row>
    <row r="55" spans="2:19">
      <c r="B55" s="254" t="str">
        <f t="shared" si="3"/>
        <v>Satinato kalené (dodání 3 týdny)</v>
      </c>
      <c r="C55" s="1020">
        <f t="shared" si="4"/>
        <v>2214.5</v>
      </c>
      <c r="D55" s="1020">
        <f t="shared" si="5"/>
        <v>0</v>
      </c>
      <c r="E55" s="1004">
        <v>2214.5</v>
      </c>
      <c r="F55" s="1005"/>
      <c r="G55" s="1029">
        <v>86</v>
      </c>
      <c r="H55" s="1029"/>
      <c r="I55" s="1029">
        <v>330.76923076923077</v>
      </c>
      <c r="J55" s="1029"/>
      <c r="K55" s="1030">
        <v>19780</v>
      </c>
      <c r="L55" s="1031"/>
      <c r="M55" s="260"/>
      <c r="N55" s="260"/>
      <c r="O55" s="8" t="s">
        <v>954</v>
      </c>
      <c r="P55" s="99" t="s">
        <v>959</v>
      </c>
      <c r="Q55" s="99" t="s">
        <v>958</v>
      </c>
      <c r="R55" s="100" t="s">
        <v>968</v>
      </c>
      <c r="S55" s="111" t="s">
        <v>1736</v>
      </c>
    </row>
    <row r="56" spans="2:19">
      <c r="B56" s="254" t="str">
        <f t="shared" si="3"/>
        <v>Satinato hnědé</v>
      </c>
      <c r="C56" s="1020">
        <f t="shared" si="4"/>
        <v>1810.74</v>
      </c>
      <c r="D56" s="1020">
        <f t="shared" si="5"/>
        <v>0</v>
      </c>
      <c r="E56" s="1004">
        <v>1810.74</v>
      </c>
      <c r="F56" s="1005"/>
      <c r="G56" s="1029">
        <v>70.319999999999993</v>
      </c>
      <c r="H56" s="1029"/>
      <c r="I56" s="1029">
        <v>270.46153846153845</v>
      </c>
      <c r="J56" s="1029"/>
      <c r="K56" s="1030">
        <v>16173.599999999999</v>
      </c>
      <c r="L56" s="1031"/>
      <c r="M56" s="260"/>
      <c r="N56" s="260"/>
      <c r="O56" s="8" t="s">
        <v>1424</v>
      </c>
      <c r="P56" s="8" t="s">
        <v>1653</v>
      </c>
      <c r="Q56" s="8" t="s">
        <v>1656</v>
      </c>
      <c r="R56" s="8" t="s">
        <v>1654</v>
      </c>
      <c r="S56" s="111" t="s">
        <v>1737</v>
      </c>
    </row>
    <row r="57" spans="2:19">
      <c r="B57" s="254" t="str">
        <f t="shared" si="3"/>
        <v>Satinato grafit</v>
      </c>
      <c r="C57" s="1020">
        <f t="shared" si="4"/>
        <v>1810.74</v>
      </c>
      <c r="D57" s="1020">
        <f t="shared" si="5"/>
        <v>0</v>
      </c>
      <c r="E57" s="1004">
        <v>1810.74</v>
      </c>
      <c r="F57" s="1005"/>
      <c r="G57" s="1029">
        <v>70.319999999999993</v>
      </c>
      <c r="H57" s="1029"/>
      <c r="I57" s="1029">
        <v>270.46153846153845</v>
      </c>
      <c r="J57" s="1029"/>
      <c r="K57" s="1030">
        <v>16173.599999999999</v>
      </c>
      <c r="L57" s="1031"/>
      <c r="M57" s="260"/>
      <c r="N57" s="260"/>
      <c r="O57" s="8" t="s">
        <v>1425</v>
      </c>
      <c r="P57" s="8" t="s">
        <v>1425</v>
      </c>
      <c r="Q57" s="8" t="s">
        <v>1425</v>
      </c>
      <c r="R57" s="8" t="s">
        <v>1425</v>
      </c>
      <c r="S57" s="111" t="s">
        <v>1738</v>
      </c>
    </row>
    <row r="58" spans="2:19">
      <c r="B58" s="254" t="str">
        <f t="shared" si="3"/>
        <v>Screen</v>
      </c>
      <c r="C58" s="1020">
        <f t="shared" si="4"/>
        <v>1419.3400000000001</v>
      </c>
      <c r="D58" s="1020">
        <f t="shared" si="5"/>
        <v>0</v>
      </c>
      <c r="E58" s="1004">
        <v>1419.3400000000001</v>
      </c>
      <c r="F58" s="1005"/>
      <c r="G58" s="1029">
        <v>55.12</v>
      </c>
      <c r="H58" s="1029"/>
      <c r="I58" s="1029">
        <v>212</v>
      </c>
      <c r="J58" s="1029"/>
      <c r="K58" s="1030">
        <v>12677.599999999999</v>
      </c>
      <c r="L58" s="1031"/>
      <c r="M58" s="260"/>
      <c r="N58" s="260"/>
      <c r="O58" s="8" t="s">
        <v>1426</v>
      </c>
      <c r="P58" s="8" t="s">
        <v>1426</v>
      </c>
      <c r="Q58" s="8" t="s">
        <v>1426</v>
      </c>
      <c r="R58" s="8" t="s">
        <v>1426</v>
      </c>
      <c r="S58" s="111" t="s">
        <v>1426</v>
      </c>
    </row>
    <row r="59" spans="2:19">
      <c r="B59" s="254" t="str">
        <f t="shared" si="3"/>
        <v>Venus VG10</v>
      </c>
      <c r="C59" s="1020">
        <f t="shared" si="4"/>
        <v>2639.89</v>
      </c>
      <c r="D59" s="1020">
        <f t="shared" si="5"/>
        <v>0</v>
      </c>
      <c r="E59" s="1004">
        <v>2639.89</v>
      </c>
      <c r="F59" s="1005"/>
      <c r="G59" s="1029">
        <v>102.52</v>
      </c>
      <c r="H59" s="1029"/>
      <c r="I59" s="1029">
        <v>394.30769230769232</v>
      </c>
      <c r="J59" s="1029"/>
      <c r="K59" s="1030">
        <v>23579.599999999999</v>
      </c>
      <c r="L59" s="1031"/>
      <c r="M59" s="260"/>
      <c r="N59" s="260"/>
      <c r="O59" s="8" t="s">
        <v>1427</v>
      </c>
      <c r="P59" s="8" t="s">
        <v>1427</v>
      </c>
      <c r="Q59" s="8" t="s">
        <v>1427</v>
      </c>
      <c r="R59" s="8" t="s">
        <v>1427</v>
      </c>
      <c r="S59" s="111" t="s">
        <v>1427</v>
      </c>
    </row>
    <row r="60" spans="2:19">
      <c r="B60" s="254" t="str">
        <f t="shared" si="3"/>
        <v>Stopsol bronz</v>
      </c>
      <c r="C60" s="1020">
        <f t="shared" si="4"/>
        <v>2414.3200000000002</v>
      </c>
      <c r="D60" s="1020">
        <f t="shared" si="5"/>
        <v>0</v>
      </c>
      <c r="E60" s="1004">
        <v>2414.3200000000002</v>
      </c>
      <c r="F60" s="1005"/>
      <c r="G60" s="1029">
        <v>93.76</v>
      </c>
      <c r="H60" s="1029"/>
      <c r="I60" s="1029">
        <v>360.61538461538464</v>
      </c>
      <c r="J60" s="1029"/>
      <c r="K60" s="1030">
        <v>21564.799999999999</v>
      </c>
      <c r="L60" s="1031"/>
      <c r="M60" s="260"/>
      <c r="N60" s="260"/>
      <c r="O60" s="8" t="s">
        <v>1428</v>
      </c>
      <c r="P60" s="8" t="s">
        <v>1428</v>
      </c>
      <c r="Q60" s="8" t="s">
        <v>1657</v>
      </c>
      <c r="R60" s="8" t="s">
        <v>1428</v>
      </c>
      <c r="S60" s="111" t="s">
        <v>1739</v>
      </c>
    </row>
    <row r="61" spans="2:19">
      <c r="B61" s="254" t="str">
        <f t="shared" si="3"/>
        <v>Lakomat</v>
      </c>
      <c r="C61" s="1020">
        <f t="shared" si="4"/>
        <v>1341.06</v>
      </c>
      <c r="D61" s="1020">
        <f t="shared" si="5"/>
        <v>0</v>
      </c>
      <c r="E61" s="1004">
        <v>1341.06</v>
      </c>
      <c r="F61" s="1005"/>
      <c r="G61" s="1029">
        <v>52.08</v>
      </c>
      <c r="H61" s="1029"/>
      <c r="I61" s="1029">
        <v>200.30769230769232</v>
      </c>
      <c r="J61" s="1029"/>
      <c r="K61" s="1030">
        <v>11978.4</v>
      </c>
      <c r="L61" s="1031"/>
      <c r="M61" s="260"/>
      <c r="N61" s="260"/>
      <c r="O61" s="8" t="s">
        <v>716</v>
      </c>
      <c r="P61" s="99" t="s">
        <v>716</v>
      </c>
      <c r="Q61" s="99" t="s">
        <v>716</v>
      </c>
      <c r="R61" s="100" t="s">
        <v>716</v>
      </c>
      <c r="S61" s="111" t="s">
        <v>716</v>
      </c>
    </row>
    <row r="62" spans="2:19">
      <c r="B62" s="254" t="str">
        <f t="shared" si="3"/>
        <v>Pisek</v>
      </c>
      <c r="C62" s="1020">
        <f t="shared" si="4"/>
        <v>1117.55</v>
      </c>
      <c r="D62" s="1020">
        <f t="shared" si="5"/>
        <v>0</v>
      </c>
      <c r="E62" s="1004">
        <v>1117.55</v>
      </c>
      <c r="F62" s="1005"/>
      <c r="G62" s="1029">
        <v>43.4</v>
      </c>
      <c r="H62" s="1029"/>
      <c r="I62" s="1029">
        <v>166.92307692307693</v>
      </c>
      <c r="J62" s="1029"/>
      <c r="K62" s="1030">
        <v>9982</v>
      </c>
      <c r="L62" s="1031"/>
      <c r="M62" s="260"/>
      <c r="N62" s="260"/>
      <c r="O62" s="8" t="s">
        <v>714</v>
      </c>
      <c r="P62" s="99" t="s">
        <v>1662</v>
      </c>
      <c r="Q62" s="99" t="s">
        <v>1661</v>
      </c>
      <c r="R62" s="100" t="s">
        <v>1660</v>
      </c>
      <c r="S62" s="111" t="s">
        <v>1740</v>
      </c>
    </row>
    <row r="63" spans="2:19">
      <c r="B63" s="254" t="str">
        <f t="shared" si="3"/>
        <v>Antisol bronz</v>
      </c>
      <c r="C63" s="1020">
        <f t="shared" si="4"/>
        <v>927</v>
      </c>
      <c r="D63" s="1020">
        <f t="shared" si="5"/>
        <v>0</v>
      </c>
      <c r="E63" s="1004">
        <v>927</v>
      </c>
      <c r="F63" s="1005"/>
      <c r="G63" s="1029">
        <v>36</v>
      </c>
      <c r="H63" s="1029"/>
      <c r="I63" s="1029">
        <v>138.46153846153845</v>
      </c>
      <c r="J63" s="1029"/>
      <c r="K63" s="1030">
        <v>8280</v>
      </c>
      <c r="L63" s="1031"/>
      <c r="M63" s="260"/>
      <c r="N63" s="260"/>
      <c r="O63" s="8" t="s">
        <v>726</v>
      </c>
      <c r="P63" s="99" t="s">
        <v>726</v>
      </c>
      <c r="Q63" s="99" t="s">
        <v>726</v>
      </c>
      <c r="R63" s="100" t="s">
        <v>726</v>
      </c>
      <c r="S63" s="111" t="s">
        <v>1741</v>
      </c>
    </row>
    <row r="64" spans="2:19">
      <c r="B64" s="254" t="str">
        <f t="shared" si="3"/>
        <v>Antisol grafit</v>
      </c>
      <c r="C64" s="1020">
        <f t="shared" si="4"/>
        <v>927</v>
      </c>
      <c r="D64" s="1020">
        <f t="shared" si="5"/>
        <v>0</v>
      </c>
      <c r="E64" s="1004">
        <v>927</v>
      </c>
      <c r="F64" s="1005"/>
      <c r="G64" s="1029">
        <v>36</v>
      </c>
      <c r="H64" s="1029"/>
      <c r="I64" s="1029">
        <v>138.46153846153845</v>
      </c>
      <c r="J64" s="1029"/>
      <c r="K64" s="1030">
        <v>8280</v>
      </c>
      <c r="L64" s="1031"/>
      <c r="M64" s="260"/>
      <c r="N64" s="260"/>
      <c r="O64" s="8" t="s">
        <v>727</v>
      </c>
      <c r="P64" s="99" t="s">
        <v>727</v>
      </c>
      <c r="Q64" s="99" t="s">
        <v>727</v>
      </c>
      <c r="R64" s="100" t="s">
        <v>727</v>
      </c>
      <c r="S64" s="111" t="s">
        <v>1742</v>
      </c>
    </row>
    <row r="65" spans="2:19">
      <c r="B65" s="254" t="str">
        <f t="shared" si="3"/>
        <v>Zrcadlo</v>
      </c>
      <c r="C65" s="1020">
        <f t="shared" si="4"/>
        <v>844.6</v>
      </c>
      <c r="D65" s="1020">
        <f t="shared" si="5"/>
        <v>0</v>
      </c>
      <c r="E65" s="1004">
        <v>844.6</v>
      </c>
      <c r="F65" s="1005"/>
      <c r="G65" s="1029">
        <v>32.799999999999997</v>
      </c>
      <c r="H65" s="1029"/>
      <c r="I65" s="1029">
        <v>126.15384615384616</v>
      </c>
      <c r="J65" s="1029"/>
      <c r="K65" s="1030">
        <v>7543.9999999999991</v>
      </c>
      <c r="L65" s="1031"/>
      <c r="M65" s="260"/>
      <c r="N65" s="260"/>
      <c r="O65" s="8" t="s">
        <v>717</v>
      </c>
      <c r="P65" s="99" t="s">
        <v>718</v>
      </c>
      <c r="Q65" s="99" t="s">
        <v>719</v>
      </c>
      <c r="R65" s="100" t="s">
        <v>619</v>
      </c>
      <c r="S65" s="111" t="s">
        <v>1743</v>
      </c>
    </row>
    <row r="66" spans="2:19">
      <c r="B66" s="254" t="str">
        <f t="shared" si="3"/>
        <v>Zrcadlo hnědé</v>
      </c>
      <c r="C66" s="1020">
        <f t="shared" si="4"/>
        <v>1128.8800000000001</v>
      </c>
      <c r="D66" s="1020">
        <f t="shared" si="5"/>
        <v>0</v>
      </c>
      <c r="E66" s="1004">
        <v>1128.8800000000001</v>
      </c>
      <c r="F66" s="1005"/>
      <c r="G66" s="1029">
        <v>43.84</v>
      </c>
      <c r="H66" s="1029"/>
      <c r="I66" s="1029">
        <v>168.61538461538461</v>
      </c>
      <c r="J66" s="1029"/>
      <c r="K66" s="1030">
        <v>10083.199999999999</v>
      </c>
      <c r="L66" s="1031"/>
      <c r="M66" s="260"/>
      <c r="N66" s="260"/>
      <c r="O66" s="8" t="s">
        <v>1647</v>
      </c>
      <c r="P66" s="99" t="s">
        <v>1655</v>
      </c>
      <c r="Q66" s="99" t="s">
        <v>1658</v>
      </c>
      <c r="R66" s="100" t="s">
        <v>1659</v>
      </c>
      <c r="S66" s="111" t="s">
        <v>1744</v>
      </c>
    </row>
    <row r="67" spans="2:19">
      <c r="B67" s="254" t="str">
        <f t="shared" si="3"/>
        <v>Zrcadlo grafit</v>
      </c>
      <c r="C67" s="1020">
        <f t="shared" si="4"/>
        <v>1128.8800000000001</v>
      </c>
      <c r="D67" s="1020">
        <f t="shared" si="5"/>
        <v>0</v>
      </c>
      <c r="E67" s="1004">
        <v>1128.8800000000001</v>
      </c>
      <c r="F67" s="1005"/>
      <c r="G67" s="1029">
        <v>43.84</v>
      </c>
      <c r="H67" s="1029"/>
      <c r="I67" s="1029">
        <v>168.61538461538461</v>
      </c>
      <c r="J67" s="1029"/>
      <c r="K67" s="1030">
        <v>10083.199999999999</v>
      </c>
      <c r="L67" s="1031"/>
      <c r="M67" s="260"/>
      <c r="N67" s="260"/>
      <c r="O67" s="8" t="s">
        <v>1648</v>
      </c>
      <c r="P67" s="99" t="s">
        <v>1649</v>
      </c>
      <c r="Q67" s="99" t="s">
        <v>1650</v>
      </c>
      <c r="R67" s="100" t="s">
        <v>1651</v>
      </c>
      <c r="S67" s="111" t="s">
        <v>1745</v>
      </c>
    </row>
    <row r="68" spans="2:19">
      <c r="B68" s="254" t="str">
        <f t="shared" si="3"/>
        <v>Zrcadlo + bezpečnostní fólie</v>
      </c>
      <c r="C68" s="1020">
        <f t="shared" si="4"/>
        <v>952.75</v>
      </c>
      <c r="D68" s="1020">
        <f t="shared" si="5"/>
        <v>0</v>
      </c>
      <c r="E68" s="1004">
        <v>952.75</v>
      </c>
      <c r="F68" s="1005"/>
      <c r="G68" s="1029">
        <v>37</v>
      </c>
      <c r="H68" s="1029"/>
      <c r="I68" s="1029">
        <v>142.30769230769232</v>
      </c>
      <c r="J68" s="1029"/>
      <c r="K68" s="1030">
        <v>8510</v>
      </c>
      <c r="L68" s="1031"/>
      <c r="M68" s="260"/>
      <c r="N68" s="260"/>
      <c r="O68" s="8" t="s">
        <v>741</v>
      </c>
      <c r="P68" s="99" t="s">
        <v>1007</v>
      </c>
      <c r="Q68" s="99" t="s">
        <v>960</v>
      </c>
      <c r="R68" s="100" t="s">
        <v>969</v>
      </c>
      <c r="S68" s="111" t="s">
        <v>1746</v>
      </c>
    </row>
    <row r="69" spans="2:19">
      <c r="B69" s="254" t="str">
        <f t="shared" si="3"/>
        <v>Krizet</v>
      </c>
      <c r="C69" s="1020">
        <f t="shared" si="4"/>
        <v>1419.3400000000001</v>
      </c>
      <c r="D69" s="1020">
        <f t="shared" si="5"/>
        <v>0</v>
      </c>
      <c r="E69" s="1004">
        <v>1419.3400000000001</v>
      </c>
      <c r="F69" s="1005"/>
      <c r="G69" s="1029">
        <v>55.12</v>
      </c>
      <c r="H69" s="1029"/>
      <c r="I69" s="1029">
        <v>212</v>
      </c>
      <c r="J69" s="1029"/>
      <c r="K69" s="1030">
        <v>12677.599999999999</v>
      </c>
      <c r="L69" s="1031"/>
      <c r="M69" s="261"/>
      <c r="N69" s="261"/>
      <c r="O69" s="110" t="s">
        <v>1652</v>
      </c>
      <c r="P69" s="110" t="s">
        <v>1652</v>
      </c>
      <c r="Q69" s="110" t="s">
        <v>1652</v>
      </c>
      <c r="R69" s="110" t="s">
        <v>1652</v>
      </c>
      <c r="S69" s="111" t="s">
        <v>1652</v>
      </c>
    </row>
    <row r="70" spans="2:19">
      <c r="B70" s="254" t="str">
        <f t="shared" si="3"/>
        <v>Master (Carre)</v>
      </c>
      <c r="C70" s="1020">
        <f t="shared" si="4"/>
        <v>1419.3400000000001</v>
      </c>
      <c r="D70" s="1020">
        <f t="shared" si="5"/>
        <v>0</v>
      </c>
      <c r="E70" s="1004">
        <v>1419.3400000000001</v>
      </c>
      <c r="F70" s="1005"/>
      <c r="G70" s="1016">
        <v>55.12</v>
      </c>
      <c r="H70" s="1016"/>
      <c r="I70" s="1016">
        <v>212</v>
      </c>
      <c r="J70" s="1016"/>
      <c r="K70" s="1027">
        <v>12677.599999999999</v>
      </c>
      <c r="L70" s="1028"/>
      <c r="M70" s="261"/>
      <c r="N70" s="261"/>
      <c r="O70" s="110" t="s">
        <v>720</v>
      </c>
      <c r="P70" s="99" t="s">
        <v>720</v>
      </c>
      <c r="Q70" s="99" t="s">
        <v>720</v>
      </c>
      <c r="R70" s="100" t="s">
        <v>720</v>
      </c>
      <c r="S70" s="111" t="s">
        <v>720</v>
      </c>
    </row>
    <row r="71" spans="2:19">
      <c r="B71" s="254" t="str">
        <f t="shared" si="3"/>
        <v xml:space="preserve">Master  Lens </v>
      </c>
      <c r="C71" s="1020">
        <f t="shared" si="4"/>
        <v>1419.3400000000001</v>
      </c>
      <c r="D71" s="1020">
        <f t="shared" si="5"/>
        <v>0</v>
      </c>
      <c r="E71" s="1004">
        <v>1419.3400000000001</v>
      </c>
      <c r="F71" s="1005"/>
      <c r="G71" s="1016">
        <v>55.12</v>
      </c>
      <c r="H71" s="1016"/>
      <c r="I71" s="1016">
        <v>212</v>
      </c>
      <c r="J71" s="1016"/>
      <c r="K71" s="1027">
        <v>12677.599999999999</v>
      </c>
      <c r="L71" s="1028"/>
      <c r="M71" s="261"/>
      <c r="N71" s="261"/>
      <c r="O71" s="110" t="s">
        <v>721</v>
      </c>
      <c r="P71" s="99" t="s">
        <v>721</v>
      </c>
      <c r="Q71" s="99" t="s">
        <v>721</v>
      </c>
      <c r="R71" s="100" t="s">
        <v>721</v>
      </c>
      <c r="S71" s="111" t="s">
        <v>1747</v>
      </c>
    </row>
    <row r="72" spans="2:19">
      <c r="B72" s="254" t="str">
        <f t="shared" si="3"/>
        <v>Master  Ligne</v>
      </c>
      <c r="C72" s="1020">
        <f t="shared" si="4"/>
        <v>1419.3400000000001</v>
      </c>
      <c r="D72" s="1020">
        <f t="shared" si="5"/>
        <v>0</v>
      </c>
      <c r="E72" s="1004">
        <v>1419.3400000000001</v>
      </c>
      <c r="F72" s="1005"/>
      <c r="G72" s="1024">
        <v>55.12</v>
      </c>
      <c r="H72" s="1024"/>
      <c r="I72" s="1024">
        <v>212</v>
      </c>
      <c r="J72" s="1024"/>
      <c r="K72" s="1025">
        <v>12677.599999999999</v>
      </c>
      <c r="L72" s="1026"/>
      <c r="M72" s="262"/>
      <c r="N72" s="262"/>
      <c r="O72" s="114" t="s">
        <v>722</v>
      </c>
      <c r="P72" s="99" t="s">
        <v>722</v>
      </c>
      <c r="Q72" s="99" t="s">
        <v>722</v>
      </c>
      <c r="R72" s="100" t="s">
        <v>722</v>
      </c>
      <c r="S72" s="111" t="s">
        <v>1748</v>
      </c>
    </row>
    <row r="73" spans="2:19">
      <c r="B73" s="254" t="str">
        <f t="shared" si="3"/>
        <v>Master  Point</v>
      </c>
      <c r="C73" s="1020">
        <f t="shared" si="4"/>
        <v>1419.3400000000001</v>
      </c>
      <c r="D73" s="1020">
        <f t="shared" si="5"/>
        <v>0</v>
      </c>
      <c r="E73" s="1004">
        <v>1419.3400000000001</v>
      </c>
      <c r="F73" s="1005"/>
      <c r="G73" s="1024">
        <v>55.12</v>
      </c>
      <c r="H73" s="1024"/>
      <c r="I73" s="1024">
        <v>212</v>
      </c>
      <c r="J73" s="1024"/>
      <c r="K73" s="1025">
        <v>12677.599999999999</v>
      </c>
      <c r="L73" s="1026"/>
      <c r="M73" s="262"/>
      <c r="N73" s="262"/>
      <c r="O73" s="114" t="s">
        <v>723</v>
      </c>
      <c r="P73" s="99" t="s">
        <v>723</v>
      </c>
      <c r="Q73" s="99" t="s">
        <v>723</v>
      </c>
      <c r="R73" s="100" t="s">
        <v>723</v>
      </c>
      <c r="S73" s="111" t="s">
        <v>1749</v>
      </c>
    </row>
    <row r="74" spans="2:19">
      <c r="B74" s="254" t="str">
        <f t="shared" si="3"/>
        <v xml:space="preserve">Master  Ray </v>
      </c>
      <c r="C74" s="1020">
        <f t="shared" si="4"/>
        <v>1419.3400000000001</v>
      </c>
      <c r="D74" s="1020">
        <f t="shared" si="5"/>
        <v>0</v>
      </c>
      <c r="E74" s="1004">
        <v>1419.3400000000001</v>
      </c>
      <c r="F74" s="1005"/>
      <c r="G74" s="1009">
        <v>55.12</v>
      </c>
      <c r="H74" s="1009"/>
      <c r="I74" s="1009">
        <v>212</v>
      </c>
      <c r="J74" s="1009"/>
      <c r="K74" s="1014">
        <v>12677.599999999999</v>
      </c>
      <c r="L74" s="1015"/>
      <c r="M74" s="263"/>
      <c r="N74" s="263"/>
      <c r="O74" s="10" t="s">
        <v>724</v>
      </c>
      <c r="P74" s="99" t="s">
        <v>724</v>
      </c>
      <c r="Q74" s="99" t="s">
        <v>724</v>
      </c>
      <c r="R74" s="100" t="s">
        <v>724</v>
      </c>
      <c r="S74" s="111" t="s">
        <v>1750</v>
      </c>
    </row>
    <row r="75" spans="2:19" ht="15.75" thickBot="1">
      <c r="B75" s="254" t="str">
        <f t="shared" si="3"/>
        <v>Master  Shine</v>
      </c>
      <c r="C75" s="1020">
        <f t="shared" si="4"/>
        <v>1419.3400000000001</v>
      </c>
      <c r="D75" s="1020">
        <f t="shared" si="5"/>
        <v>0</v>
      </c>
      <c r="E75" s="1004">
        <v>1419.3400000000001</v>
      </c>
      <c r="F75" s="1005"/>
      <c r="G75" s="1021">
        <v>55.12</v>
      </c>
      <c r="H75" s="1021"/>
      <c r="I75" s="1021">
        <v>212</v>
      </c>
      <c r="J75" s="1021"/>
      <c r="K75" s="1022">
        <v>12677.599999999999</v>
      </c>
      <c r="L75" s="1023"/>
      <c r="M75" s="264"/>
      <c r="N75" s="264"/>
      <c r="O75" s="244" t="s">
        <v>725</v>
      </c>
      <c r="P75" s="109" t="s">
        <v>725</v>
      </c>
      <c r="Q75" s="109" t="s">
        <v>725</v>
      </c>
      <c r="R75" s="113" t="s">
        <v>725</v>
      </c>
      <c r="S75" s="111" t="s">
        <v>1751</v>
      </c>
    </row>
    <row r="76" spans="2:19">
      <c r="B76" s="254" t="str">
        <f t="shared" si="3"/>
        <v>Lacobel RAL 1013</v>
      </c>
      <c r="C76" s="1020">
        <f t="shared" si="4"/>
        <v>1812.8</v>
      </c>
      <c r="D76" s="1020">
        <f t="shared" si="5"/>
        <v>0</v>
      </c>
      <c r="E76" s="1004">
        <v>1812.8</v>
      </c>
      <c r="F76" s="1005"/>
      <c r="G76" s="1024">
        <v>70.400000000000006</v>
      </c>
      <c r="H76" s="1024"/>
      <c r="I76" s="1024">
        <v>270.76923076923077</v>
      </c>
      <c r="J76" s="1024"/>
      <c r="K76" s="1025">
        <v>16191.999999999998</v>
      </c>
      <c r="L76" s="1026"/>
      <c r="M76" s="262"/>
      <c r="N76" s="262"/>
      <c r="O76" s="9" t="s">
        <v>61</v>
      </c>
      <c r="P76" s="115" t="s">
        <v>61</v>
      </c>
      <c r="Q76" s="115" t="s">
        <v>61</v>
      </c>
      <c r="R76" s="116" t="s">
        <v>61</v>
      </c>
      <c r="S76" s="111" t="s">
        <v>61</v>
      </c>
    </row>
    <row r="77" spans="2:19">
      <c r="B77" s="254" t="str">
        <f t="shared" si="3"/>
        <v>Lacobel RAL 1014</v>
      </c>
      <c r="C77" s="1020">
        <f t="shared" si="4"/>
        <v>1493.5</v>
      </c>
      <c r="D77" s="1020">
        <f t="shared" si="5"/>
        <v>0</v>
      </c>
      <c r="E77" s="1004">
        <v>1493.5</v>
      </c>
      <c r="F77" s="1005"/>
      <c r="G77" s="1009">
        <v>58</v>
      </c>
      <c r="H77" s="1009"/>
      <c r="I77" s="1009">
        <v>223.07692307692307</v>
      </c>
      <c r="J77" s="1009"/>
      <c r="K77" s="1014">
        <v>13339.999999999998</v>
      </c>
      <c r="L77" s="1015"/>
      <c r="M77" s="263"/>
      <c r="N77" s="263"/>
      <c r="O77" s="10" t="s">
        <v>62</v>
      </c>
      <c r="P77" s="115" t="s">
        <v>62</v>
      </c>
      <c r="Q77" s="115" t="s">
        <v>62</v>
      </c>
      <c r="R77" s="116" t="s">
        <v>62</v>
      </c>
      <c r="S77" s="111" t="s">
        <v>62</v>
      </c>
    </row>
    <row r="78" spans="2:19">
      <c r="B78" s="254" t="str">
        <f t="shared" si="3"/>
        <v>Lacobel RAL 1015</v>
      </c>
      <c r="C78" s="1020">
        <f t="shared" si="4"/>
        <v>1493.5</v>
      </c>
      <c r="D78" s="1020">
        <f t="shared" si="5"/>
        <v>0</v>
      </c>
      <c r="E78" s="1004">
        <v>1493.5</v>
      </c>
      <c r="F78" s="1005"/>
      <c r="G78" s="1009">
        <v>58</v>
      </c>
      <c r="H78" s="1009"/>
      <c r="I78" s="1009">
        <v>223.07692307692307</v>
      </c>
      <c r="J78" s="1009"/>
      <c r="K78" s="1014">
        <v>13339.999999999998</v>
      </c>
      <c r="L78" s="1015"/>
      <c r="M78" s="263"/>
      <c r="N78" s="263"/>
      <c r="O78" s="10" t="s">
        <v>45</v>
      </c>
      <c r="P78" s="104" t="s">
        <v>45</v>
      </c>
      <c r="Q78" s="104" t="s">
        <v>45</v>
      </c>
      <c r="R78" s="105" t="s">
        <v>45</v>
      </c>
      <c r="S78" s="111" t="s">
        <v>45</v>
      </c>
    </row>
    <row r="79" spans="2:19" ht="15.75" thickBot="1">
      <c r="B79" s="254" t="str">
        <f t="shared" si="3"/>
        <v>Lacobel RAL 2001</v>
      </c>
      <c r="C79" s="1020">
        <f t="shared" si="4"/>
        <v>1493.5</v>
      </c>
      <c r="D79" s="1020">
        <f t="shared" si="5"/>
        <v>0</v>
      </c>
      <c r="E79" s="1004">
        <v>1493.5</v>
      </c>
      <c r="F79" s="1005"/>
      <c r="G79" s="1009">
        <v>58</v>
      </c>
      <c r="H79" s="1009"/>
      <c r="I79" s="1009">
        <v>223.07692307692307</v>
      </c>
      <c r="J79" s="1009"/>
      <c r="K79" s="1014">
        <v>13339.999999999998</v>
      </c>
      <c r="L79" s="1015"/>
      <c r="M79" s="263"/>
      <c r="N79" s="263"/>
      <c r="O79" s="10" t="s">
        <v>51</v>
      </c>
      <c r="P79" s="245" t="s">
        <v>51</v>
      </c>
      <c r="Q79" s="245" t="s">
        <v>51</v>
      </c>
      <c r="R79" s="246" t="s">
        <v>51</v>
      </c>
      <c r="S79" s="111" t="s">
        <v>51</v>
      </c>
    </row>
    <row r="80" spans="2:19">
      <c r="B80" s="254" t="str">
        <f t="shared" si="3"/>
        <v>Lacobel RAL 3004</v>
      </c>
      <c r="C80" s="1020">
        <f t="shared" si="4"/>
        <v>1493.5</v>
      </c>
      <c r="D80" s="1020">
        <f t="shared" si="5"/>
        <v>0</v>
      </c>
      <c r="E80" s="1004">
        <v>1493.5</v>
      </c>
      <c r="F80" s="1005"/>
      <c r="G80" s="1009">
        <v>58</v>
      </c>
      <c r="H80" s="1009"/>
      <c r="I80" s="1009">
        <v>223.07692307692307</v>
      </c>
      <c r="J80" s="1009"/>
      <c r="K80" s="1014">
        <v>13339.999999999998</v>
      </c>
      <c r="L80" s="1015"/>
      <c r="M80" s="263"/>
      <c r="N80" s="263"/>
      <c r="O80" s="10" t="s">
        <v>52</v>
      </c>
      <c r="P80" s="247" t="s">
        <v>52</v>
      </c>
      <c r="Q80" s="247" t="s">
        <v>52</v>
      </c>
      <c r="R80" s="248" t="s">
        <v>52</v>
      </c>
      <c r="S80" s="111" t="s">
        <v>52</v>
      </c>
    </row>
    <row r="81" spans="2:19">
      <c r="B81" s="254" t="str">
        <f t="shared" si="3"/>
        <v>Lacobel RAL 4006</v>
      </c>
      <c r="C81" s="1020">
        <f t="shared" si="4"/>
        <v>1493.5</v>
      </c>
      <c r="D81" s="1020">
        <f t="shared" si="5"/>
        <v>0</v>
      </c>
      <c r="E81" s="1004">
        <v>1493.5</v>
      </c>
      <c r="F81" s="1005"/>
      <c r="G81" s="1009">
        <v>58</v>
      </c>
      <c r="H81" s="1009"/>
      <c r="I81" s="1009">
        <v>223.07692307692307</v>
      </c>
      <c r="J81" s="1009"/>
      <c r="K81" s="1014">
        <v>13339.999999999998</v>
      </c>
      <c r="L81" s="1015"/>
      <c r="M81" s="263"/>
      <c r="N81" s="263"/>
      <c r="O81" s="10" t="s">
        <v>53</v>
      </c>
      <c r="P81" s="104" t="s">
        <v>53</v>
      </c>
      <c r="Q81" s="104" t="s">
        <v>53</v>
      </c>
      <c r="R81" s="105" t="s">
        <v>53</v>
      </c>
      <c r="S81" s="111" t="s">
        <v>53</v>
      </c>
    </row>
    <row r="82" spans="2:19">
      <c r="B82" s="254" t="str">
        <f t="shared" si="3"/>
        <v>Lacobel RAL 5002</v>
      </c>
      <c r="C82" s="1020">
        <f t="shared" si="4"/>
        <v>1493.5</v>
      </c>
      <c r="D82" s="1020">
        <f t="shared" si="5"/>
        <v>0</v>
      </c>
      <c r="E82" s="1004">
        <v>1493.5</v>
      </c>
      <c r="F82" s="1005"/>
      <c r="G82" s="1009">
        <v>58</v>
      </c>
      <c r="H82" s="1009"/>
      <c r="I82" s="1009">
        <v>223.07692307692307</v>
      </c>
      <c r="J82" s="1009"/>
      <c r="K82" s="1014">
        <v>13339.999999999998</v>
      </c>
      <c r="L82" s="1015"/>
      <c r="M82" s="263"/>
      <c r="N82" s="263"/>
      <c r="O82" s="10" t="s">
        <v>46</v>
      </c>
      <c r="P82" s="104" t="s">
        <v>46</v>
      </c>
      <c r="Q82" s="104" t="s">
        <v>46</v>
      </c>
      <c r="R82" s="105" t="s">
        <v>46</v>
      </c>
      <c r="S82" s="111" t="s">
        <v>46</v>
      </c>
    </row>
    <row r="83" spans="2:19">
      <c r="B83" s="254" t="str">
        <f t="shared" si="3"/>
        <v>Lacobel RAL 7035</v>
      </c>
      <c r="C83" s="1020">
        <f t="shared" si="4"/>
        <v>1493.5</v>
      </c>
      <c r="D83" s="1020">
        <f t="shared" si="5"/>
        <v>0</v>
      </c>
      <c r="E83" s="1004">
        <v>1493.5</v>
      </c>
      <c r="F83" s="1005"/>
      <c r="G83" s="1009">
        <v>58</v>
      </c>
      <c r="H83" s="1009"/>
      <c r="I83" s="1009">
        <v>223.07692307692307</v>
      </c>
      <c r="J83" s="1009"/>
      <c r="K83" s="1014">
        <v>13339.999999999998</v>
      </c>
      <c r="L83" s="1015"/>
      <c r="M83" s="263"/>
      <c r="N83" s="263"/>
      <c r="O83" s="10" t="s">
        <v>56</v>
      </c>
      <c r="P83" s="104" t="s">
        <v>56</v>
      </c>
      <c r="Q83" s="104" t="s">
        <v>56</v>
      </c>
      <c r="R83" s="105" t="s">
        <v>56</v>
      </c>
      <c r="S83" s="111" t="s">
        <v>56</v>
      </c>
    </row>
    <row r="84" spans="2:19">
      <c r="B84" s="254" t="str">
        <f t="shared" ref="B84:B112" si="6">IF($D$1=1,O:O,IF($D$1=2,P:P,IF($D$1=3,Q:Q,IF($D$1=4,R:R,IF($D$1=5,S:S)))))</f>
        <v>Lacobel RAL 8017</v>
      </c>
      <c r="C84" s="1020">
        <f t="shared" ref="C84:C112" si="7">IF($D$1=1,E:E,IF($D$1=2,G:G,IF($D$1=3,I:I,IF($D$1=4,K:K,IF($D$1=5,M:M)))))</f>
        <v>1493.5</v>
      </c>
      <c r="D84" s="1020">
        <f t="shared" si="5"/>
        <v>0</v>
      </c>
      <c r="E84" s="1004">
        <v>1493.5</v>
      </c>
      <c r="F84" s="1005"/>
      <c r="G84" s="1009">
        <v>58</v>
      </c>
      <c r="H84" s="1009"/>
      <c r="I84" s="1009">
        <v>223.07692307692307</v>
      </c>
      <c r="J84" s="1009"/>
      <c r="K84" s="1014">
        <v>13339.999999999998</v>
      </c>
      <c r="L84" s="1015"/>
      <c r="M84" s="263"/>
      <c r="N84" s="263"/>
      <c r="O84" s="10" t="s">
        <v>60</v>
      </c>
      <c r="P84" s="104" t="s">
        <v>60</v>
      </c>
      <c r="Q84" s="104" t="s">
        <v>60</v>
      </c>
      <c r="R84" s="105" t="s">
        <v>60</v>
      </c>
      <c r="S84" s="111" t="s">
        <v>60</v>
      </c>
    </row>
    <row r="85" spans="2:19">
      <c r="B85" s="254" t="str">
        <f t="shared" si="6"/>
        <v>Lacobel RAL 9003</v>
      </c>
      <c r="C85" s="1020">
        <f t="shared" si="7"/>
        <v>1812.8</v>
      </c>
      <c r="D85" s="1020">
        <f t="shared" si="5"/>
        <v>0</v>
      </c>
      <c r="E85" s="1004">
        <v>1812.8</v>
      </c>
      <c r="F85" s="1005"/>
      <c r="G85" s="1009">
        <v>70.400000000000006</v>
      </c>
      <c r="H85" s="1009"/>
      <c r="I85" s="1009">
        <v>270.76923076923077</v>
      </c>
      <c r="J85" s="1009"/>
      <c r="K85" s="1014">
        <v>16191.999999999998</v>
      </c>
      <c r="L85" s="1015"/>
      <c r="M85" s="263"/>
      <c r="N85" s="263"/>
      <c r="O85" s="10" t="s">
        <v>63</v>
      </c>
      <c r="P85" s="104" t="s">
        <v>63</v>
      </c>
      <c r="Q85" s="104" t="s">
        <v>63</v>
      </c>
      <c r="R85" s="105" t="s">
        <v>63</v>
      </c>
      <c r="S85" s="111" t="s">
        <v>63</v>
      </c>
    </row>
    <row r="86" spans="2:19">
      <c r="B86" s="254" t="str">
        <f t="shared" si="6"/>
        <v>Lacobel RAL 9005</v>
      </c>
      <c r="C86" s="1020">
        <f t="shared" si="7"/>
        <v>1493.5</v>
      </c>
      <c r="D86" s="1020">
        <f t="shared" si="5"/>
        <v>0</v>
      </c>
      <c r="E86" s="1004">
        <v>1493.5</v>
      </c>
      <c r="F86" s="1005"/>
      <c r="G86" s="1009">
        <v>58</v>
      </c>
      <c r="H86" s="1009"/>
      <c r="I86" s="1009">
        <v>223.07692307692307</v>
      </c>
      <c r="J86" s="1009"/>
      <c r="K86" s="1014">
        <v>13339.999999999998</v>
      </c>
      <c r="L86" s="1015"/>
      <c r="M86" s="263"/>
      <c r="N86" s="263"/>
      <c r="O86" s="10" t="s">
        <v>65</v>
      </c>
      <c r="P86" s="104" t="s">
        <v>65</v>
      </c>
      <c r="Q86" s="104" t="s">
        <v>65</v>
      </c>
      <c r="R86" s="105" t="s">
        <v>65</v>
      </c>
      <c r="S86" s="111" t="s">
        <v>65</v>
      </c>
    </row>
    <row r="87" spans="2:19">
      <c r="B87" s="254" t="str">
        <f t="shared" si="6"/>
        <v>Lacobel RAL 9006</v>
      </c>
      <c r="C87" s="1020">
        <f t="shared" si="7"/>
        <v>1493.5</v>
      </c>
      <c r="D87" s="1020">
        <f t="shared" si="5"/>
        <v>0</v>
      </c>
      <c r="E87" s="1004">
        <v>1493.5</v>
      </c>
      <c r="F87" s="1005"/>
      <c r="G87" s="1009">
        <v>58</v>
      </c>
      <c r="H87" s="1009"/>
      <c r="I87" s="1009">
        <v>223.07692307692307</v>
      </c>
      <c r="J87" s="1009"/>
      <c r="K87" s="1014">
        <v>13339.999999999998</v>
      </c>
      <c r="L87" s="1015"/>
      <c r="M87" s="263"/>
      <c r="N87" s="263"/>
      <c r="O87" s="10" t="s">
        <v>64</v>
      </c>
      <c r="P87" s="104" t="s">
        <v>64</v>
      </c>
      <c r="Q87" s="104" t="s">
        <v>64</v>
      </c>
      <c r="R87" s="105" t="s">
        <v>64</v>
      </c>
      <c r="S87" s="111" t="s">
        <v>64</v>
      </c>
    </row>
    <row r="88" spans="2:19">
      <c r="B88" s="254" t="str">
        <f t="shared" si="6"/>
        <v>Lacobel RAL 9007</v>
      </c>
      <c r="C88" s="1020">
        <f t="shared" si="7"/>
        <v>1812.8</v>
      </c>
      <c r="D88" s="1020">
        <f t="shared" si="5"/>
        <v>0</v>
      </c>
      <c r="E88" s="1004">
        <v>1812.8</v>
      </c>
      <c r="F88" s="1005"/>
      <c r="G88" s="1009">
        <v>70.400000000000006</v>
      </c>
      <c r="H88" s="1009"/>
      <c r="I88" s="1009">
        <v>270.76923076923077</v>
      </c>
      <c r="J88" s="1009"/>
      <c r="K88" s="1014">
        <v>16191.999999999998</v>
      </c>
      <c r="L88" s="1015"/>
      <c r="M88" s="263"/>
      <c r="N88" s="263"/>
      <c r="O88" s="10" t="s">
        <v>1006</v>
      </c>
      <c r="P88" s="104" t="s">
        <v>1006</v>
      </c>
      <c r="Q88" s="104" t="s">
        <v>1006</v>
      </c>
      <c r="R88" s="105" t="s">
        <v>1006</v>
      </c>
      <c r="S88" s="111" t="s">
        <v>1006</v>
      </c>
    </row>
    <row r="89" spans="2:19">
      <c r="B89" s="254" t="str">
        <f t="shared" si="6"/>
        <v>Lacobel RAL 9010</v>
      </c>
      <c r="C89" s="1020">
        <f t="shared" si="7"/>
        <v>1493.5</v>
      </c>
      <c r="D89" s="1020">
        <f t="shared" si="5"/>
        <v>0</v>
      </c>
      <c r="E89" s="1004">
        <v>1493.5</v>
      </c>
      <c r="F89" s="1005"/>
      <c r="G89" s="1009">
        <v>58</v>
      </c>
      <c r="H89" s="1009"/>
      <c r="I89" s="1009">
        <v>223.07692307692307</v>
      </c>
      <c r="J89" s="1009"/>
      <c r="K89" s="1014">
        <v>13339.999999999998</v>
      </c>
      <c r="L89" s="1015"/>
      <c r="M89" s="263"/>
      <c r="N89" s="263"/>
      <c r="O89" s="10" t="s">
        <v>47</v>
      </c>
      <c r="P89" s="104" t="s">
        <v>47</v>
      </c>
      <c r="Q89" s="104" t="s">
        <v>47</v>
      </c>
      <c r="R89" s="105" t="s">
        <v>47</v>
      </c>
      <c r="S89" s="111" t="s">
        <v>47</v>
      </c>
    </row>
    <row r="90" spans="2:19">
      <c r="B90" s="254" t="str">
        <f t="shared" si="6"/>
        <v>Lacobel REF 0128</v>
      </c>
      <c r="C90" s="1020">
        <f t="shared" si="7"/>
        <v>1812.8</v>
      </c>
      <c r="D90" s="1020">
        <f t="shared" si="5"/>
        <v>0</v>
      </c>
      <c r="E90" s="1004">
        <v>1812.8</v>
      </c>
      <c r="F90" s="1005"/>
      <c r="G90" s="1009">
        <v>70.400000000000006</v>
      </c>
      <c r="H90" s="1009"/>
      <c r="I90" s="1009">
        <v>270.76923076923077</v>
      </c>
      <c r="J90" s="1009"/>
      <c r="K90" s="1014">
        <v>16191.999999999998</v>
      </c>
      <c r="L90" s="1015"/>
      <c r="M90" s="263"/>
      <c r="N90" s="263"/>
      <c r="O90" s="10" t="s">
        <v>54</v>
      </c>
      <c r="P90" s="104" t="s">
        <v>54</v>
      </c>
      <c r="Q90" s="104" t="s">
        <v>54</v>
      </c>
      <c r="R90" s="105" t="s">
        <v>54</v>
      </c>
      <c r="S90" s="111" t="s">
        <v>54</v>
      </c>
    </row>
    <row r="91" spans="2:19">
      <c r="B91" s="254" t="str">
        <f t="shared" si="6"/>
        <v>Lacobel REF 0327</v>
      </c>
      <c r="C91" s="1020">
        <f t="shared" si="7"/>
        <v>1812.8</v>
      </c>
      <c r="D91" s="1020">
        <f t="shared" si="5"/>
        <v>0</v>
      </c>
      <c r="E91" s="1004">
        <v>1812.8</v>
      </c>
      <c r="F91" s="1005"/>
      <c r="G91" s="1009">
        <v>70.400000000000006</v>
      </c>
      <c r="H91" s="1009"/>
      <c r="I91" s="1009">
        <v>270.76923076923077</v>
      </c>
      <c r="J91" s="1009"/>
      <c r="K91" s="1014">
        <v>16191.999999999998</v>
      </c>
      <c r="L91" s="1015"/>
      <c r="M91" s="263"/>
      <c r="N91" s="263"/>
      <c r="O91" s="10" t="s">
        <v>66</v>
      </c>
      <c r="P91" s="104" t="s">
        <v>66</v>
      </c>
      <c r="Q91" s="104" t="s">
        <v>66</v>
      </c>
      <c r="R91" s="105" t="s">
        <v>66</v>
      </c>
      <c r="S91" s="111" t="s">
        <v>66</v>
      </c>
    </row>
    <row r="92" spans="2:19">
      <c r="B92" s="254" t="str">
        <f t="shared" si="6"/>
        <v>Lacobel REF 0337</v>
      </c>
      <c r="C92" s="1020">
        <f t="shared" si="7"/>
        <v>1812.8</v>
      </c>
      <c r="D92" s="1020">
        <f t="shared" si="5"/>
        <v>0</v>
      </c>
      <c r="E92" s="1004">
        <v>1812.8</v>
      </c>
      <c r="F92" s="1005"/>
      <c r="G92" s="1009">
        <v>70.400000000000006</v>
      </c>
      <c r="H92" s="1009"/>
      <c r="I92" s="1009">
        <v>270.76923076923077</v>
      </c>
      <c r="J92" s="1009"/>
      <c r="K92" s="1014">
        <v>16191.999999999998</v>
      </c>
      <c r="L92" s="1015"/>
      <c r="M92" s="263"/>
      <c r="N92" s="263"/>
      <c r="O92" s="10" t="s">
        <v>57</v>
      </c>
      <c r="P92" s="104" t="s">
        <v>57</v>
      </c>
      <c r="Q92" s="104" t="s">
        <v>57</v>
      </c>
      <c r="R92" s="105" t="s">
        <v>57</v>
      </c>
      <c r="S92" s="111" t="s">
        <v>57</v>
      </c>
    </row>
    <row r="93" spans="2:19">
      <c r="B93" s="254" t="str">
        <f t="shared" si="6"/>
        <v>Lacobel REF 0627</v>
      </c>
      <c r="C93" s="1020">
        <f t="shared" si="7"/>
        <v>1812.8</v>
      </c>
      <c r="D93" s="1020">
        <f t="shared" si="5"/>
        <v>0</v>
      </c>
      <c r="E93" s="1004">
        <v>1812.8</v>
      </c>
      <c r="F93" s="1005"/>
      <c r="G93" s="1009">
        <v>70.400000000000006</v>
      </c>
      <c r="H93" s="1009"/>
      <c r="I93" s="1009">
        <v>270.76923076923077</v>
      </c>
      <c r="J93" s="1009"/>
      <c r="K93" s="1014">
        <v>16191.999999999998</v>
      </c>
      <c r="L93" s="1015"/>
      <c r="M93" s="263"/>
      <c r="N93" s="263"/>
      <c r="O93" s="10" t="s">
        <v>58</v>
      </c>
      <c r="P93" s="104" t="s">
        <v>58</v>
      </c>
      <c r="Q93" s="104" t="s">
        <v>58</v>
      </c>
      <c r="R93" s="105" t="s">
        <v>58</v>
      </c>
      <c r="S93" s="111" t="s">
        <v>58</v>
      </c>
    </row>
    <row r="94" spans="2:19">
      <c r="B94" s="254" t="str">
        <f t="shared" si="6"/>
        <v>Lacobel REF 0667</v>
      </c>
      <c r="C94" s="1020">
        <f t="shared" si="7"/>
        <v>1493.5</v>
      </c>
      <c r="D94" s="1020">
        <f t="shared" si="5"/>
        <v>0</v>
      </c>
      <c r="E94" s="1004">
        <v>1493.5</v>
      </c>
      <c r="F94" s="1005"/>
      <c r="G94" s="1009">
        <v>58</v>
      </c>
      <c r="H94" s="1009"/>
      <c r="I94" s="1009">
        <v>223.07692307692307</v>
      </c>
      <c r="J94" s="1009"/>
      <c r="K94" s="1014">
        <v>13339.999999999998</v>
      </c>
      <c r="L94" s="1015"/>
      <c r="M94" s="263"/>
      <c r="N94" s="263"/>
      <c r="O94" s="10" t="s">
        <v>48</v>
      </c>
      <c r="P94" s="104" t="s">
        <v>48</v>
      </c>
      <c r="Q94" s="104" t="s">
        <v>48</v>
      </c>
      <c r="R94" s="105" t="s">
        <v>48</v>
      </c>
      <c r="S94" s="111" t="s">
        <v>48</v>
      </c>
    </row>
    <row r="95" spans="2:19">
      <c r="B95" s="254" t="str">
        <f t="shared" si="6"/>
        <v>Lacobel REF 1164</v>
      </c>
      <c r="C95" s="1020">
        <f t="shared" si="7"/>
        <v>1493.5</v>
      </c>
      <c r="D95" s="1020">
        <f t="shared" si="5"/>
        <v>0</v>
      </c>
      <c r="E95" s="1004">
        <v>1493.5</v>
      </c>
      <c r="F95" s="1005"/>
      <c r="G95" s="1009">
        <v>58</v>
      </c>
      <c r="H95" s="1009"/>
      <c r="I95" s="1009">
        <v>223.07692307692307</v>
      </c>
      <c r="J95" s="1009"/>
      <c r="K95" s="1014">
        <v>13339.999999999998</v>
      </c>
      <c r="L95" s="1015"/>
      <c r="M95" s="263"/>
      <c r="N95" s="263"/>
      <c r="O95" s="10" t="s">
        <v>49</v>
      </c>
      <c r="P95" s="104" t="s">
        <v>49</v>
      </c>
      <c r="Q95" s="104" t="s">
        <v>49</v>
      </c>
      <c r="R95" s="105" t="s">
        <v>49</v>
      </c>
      <c r="S95" s="111" t="s">
        <v>49</v>
      </c>
    </row>
    <row r="96" spans="2:19">
      <c r="B96" s="254" t="str">
        <f t="shared" si="6"/>
        <v>Lacobel REF 1236</v>
      </c>
      <c r="C96" s="1020">
        <f t="shared" si="7"/>
        <v>1493.5</v>
      </c>
      <c r="D96" s="1020">
        <f t="shared" si="5"/>
        <v>0</v>
      </c>
      <c r="E96" s="1004">
        <v>1493.5</v>
      </c>
      <c r="F96" s="1005"/>
      <c r="G96" s="1009">
        <v>58</v>
      </c>
      <c r="H96" s="1009"/>
      <c r="I96" s="1009">
        <v>223.07692307692307</v>
      </c>
      <c r="J96" s="1009"/>
      <c r="K96" s="1014">
        <v>13339.999999999998</v>
      </c>
      <c r="L96" s="1015"/>
      <c r="M96" s="263"/>
      <c r="N96" s="263"/>
      <c r="O96" s="10" t="s">
        <v>55</v>
      </c>
      <c r="P96" s="104" t="s">
        <v>55</v>
      </c>
      <c r="Q96" s="104" t="s">
        <v>55</v>
      </c>
      <c r="R96" s="105" t="s">
        <v>55</v>
      </c>
      <c r="S96" s="111" t="s">
        <v>55</v>
      </c>
    </row>
    <row r="97" spans="2:19">
      <c r="B97" s="254" t="str">
        <f t="shared" si="6"/>
        <v>Lacobel REF 1435</v>
      </c>
      <c r="C97" s="1020">
        <f t="shared" si="7"/>
        <v>1493.5</v>
      </c>
      <c r="D97" s="1020">
        <f t="shared" si="5"/>
        <v>0</v>
      </c>
      <c r="E97" s="1004">
        <v>1493.5</v>
      </c>
      <c r="F97" s="1005"/>
      <c r="G97" s="1009">
        <v>58</v>
      </c>
      <c r="H97" s="1009"/>
      <c r="I97" s="1009">
        <v>223.07692307692307</v>
      </c>
      <c r="J97" s="1009"/>
      <c r="K97" s="1014">
        <v>13339.999999999998</v>
      </c>
      <c r="L97" s="1015"/>
      <c r="M97" s="263"/>
      <c r="N97" s="263"/>
      <c r="O97" s="10" t="s">
        <v>50</v>
      </c>
      <c r="P97" s="104" t="s">
        <v>50</v>
      </c>
      <c r="Q97" s="104" t="s">
        <v>50</v>
      </c>
      <c r="R97" s="105" t="s">
        <v>50</v>
      </c>
      <c r="S97" s="111" t="s">
        <v>50</v>
      </c>
    </row>
    <row r="98" spans="2:19">
      <c r="B98" s="254" t="str">
        <f t="shared" si="6"/>
        <v>Lacobel REF 1586</v>
      </c>
      <c r="C98" s="1020">
        <f t="shared" si="7"/>
        <v>1493.5</v>
      </c>
      <c r="D98" s="1020">
        <f t="shared" si="5"/>
        <v>0</v>
      </c>
      <c r="E98" s="1004">
        <v>1493.5</v>
      </c>
      <c r="F98" s="1005"/>
      <c r="G98" s="1009">
        <v>58</v>
      </c>
      <c r="H98" s="1009"/>
      <c r="I98" s="1009">
        <v>223.07692307692307</v>
      </c>
      <c r="J98" s="1009"/>
      <c r="K98" s="1014">
        <v>13339.999999999998</v>
      </c>
      <c r="L98" s="1015"/>
      <c r="M98" s="263"/>
      <c r="N98" s="263"/>
      <c r="O98" s="10" t="s">
        <v>67</v>
      </c>
      <c r="P98" s="104" t="s">
        <v>67</v>
      </c>
      <c r="Q98" s="104" t="s">
        <v>67</v>
      </c>
      <c r="R98" s="105" t="s">
        <v>67</v>
      </c>
      <c r="S98" s="111" t="s">
        <v>67</v>
      </c>
    </row>
    <row r="99" spans="2:19">
      <c r="B99" s="254" t="str">
        <f t="shared" si="6"/>
        <v>Lacobel REF 1603</v>
      </c>
      <c r="C99" s="1020">
        <f t="shared" si="7"/>
        <v>1493.5</v>
      </c>
      <c r="D99" s="1020">
        <f t="shared" si="5"/>
        <v>0</v>
      </c>
      <c r="E99" s="1004">
        <v>1493.5</v>
      </c>
      <c r="F99" s="1005"/>
      <c r="G99" s="1009">
        <v>58</v>
      </c>
      <c r="H99" s="1009"/>
      <c r="I99" s="1009">
        <v>223.07692307692307</v>
      </c>
      <c r="J99" s="1009"/>
      <c r="K99" s="1014">
        <v>13339.999999999998</v>
      </c>
      <c r="L99" s="1015"/>
      <c r="M99" s="263"/>
      <c r="N99" s="263"/>
      <c r="O99" s="10" t="s">
        <v>44</v>
      </c>
      <c r="P99" s="104" t="s">
        <v>44</v>
      </c>
      <c r="Q99" s="104" t="s">
        <v>44</v>
      </c>
      <c r="R99" s="105" t="s">
        <v>44</v>
      </c>
      <c r="S99" s="111" t="s">
        <v>44</v>
      </c>
    </row>
    <row r="100" spans="2:19">
      <c r="B100" s="254" t="str">
        <f t="shared" si="6"/>
        <v>Lacobel REF 1604</v>
      </c>
      <c r="C100" s="1020">
        <f t="shared" si="7"/>
        <v>1493.5</v>
      </c>
      <c r="D100" s="1020">
        <f t="shared" si="5"/>
        <v>0</v>
      </c>
      <c r="E100" s="1004">
        <v>1493.5</v>
      </c>
      <c r="F100" s="1005"/>
      <c r="G100" s="1009">
        <v>58</v>
      </c>
      <c r="H100" s="1009"/>
      <c r="I100" s="1009">
        <v>223.07692307692307</v>
      </c>
      <c r="J100" s="1009"/>
      <c r="K100" s="1014">
        <v>13339.999999999998</v>
      </c>
      <c r="L100" s="1015"/>
      <c r="M100" s="263"/>
      <c r="N100" s="263"/>
      <c r="O100" s="10" t="s">
        <v>59</v>
      </c>
      <c r="P100" s="104" t="s">
        <v>59</v>
      </c>
      <c r="Q100" s="104" t="s">
        <v>59</v>
      </c>
      <c r="R100" s="105" t="s">
        <v>59</v>
      </c>
      <c r="S100" s="111" t="s">
        <v>59</v>
      </c>
    </row>
    <row r="101" spans="2:19">
      <c r="B101" s="254" t="str">
        <f t="shared" si="6"/>
        <v>Matelac RAL 2001</v>
      </c>
      <c r="C101" s="1020">
        <f t="shared" si="7"/>
        <v>2502.9</v>
      </c>
      <c r="D101" s="1020">
        <f t="shared" si="5"/>
        <v>0</v>
      </c>
      <c r="E101" s="1004">
        <v>2502.9</v>
      </c>
      <c r="F101" s="1005"/>
      <c r="G101" s="1009">
        <v>97.2</v>
      </c>
      <c r="H101" s="1009"/>
      <c r="I101" s="1009">
        <v>373.84615384615387</v>
      </c>
      <c r="J101" s="1009"/>
      <c r="K101" s="1014">
        <v>22356</v>
      </c>
      <c r="L101" s="1015"/>
      <c r="M101" s="263"/>
      <c r="N101" s="263"/>
      <c r="O101" s="10" t="s">
        <v>74</v>
      </c>
      <c r="P101" s="104" t="s">
        <v>74</v>
      </c>
      <c r="Q101" s="104" t="s">
        <v>74</v>
      </c>
      <c r="R101" s="105" t="s">
        <v>74</v>
      </c>
      <c r="S101" s="111" t="s">
        <v>74</v>
      </c>
    </row>
    <row r="102" spans="2:19">
      <c r="B102" s="254" t="str">
        <f t="shared" si="6"/>
        <v>Matelac RAL 3004</v>
      </c>
      <c r="C102" s="1020">
        <f t="shared" si="7"/>
        <v>2502.9</v>
      </c>
      <c r="D102" s="1020">
        <f t="shared" si="5"/>
        <v>0</v>
      </c>
      <c r="E102" s="1004">
        <v>2502.9</v>
      </c>
      <c r="F102" s="1005"/>
      <c r="G102" s="1009">
        <v>97.2</v>
      </c>
      <c r="H102" s="1009"/>
      <c r="I102" s="1009">
        <v>373.84615384615387</v>
      </c>
      <c r="J102" s="1009"/>
      <c r="K102" s="1014">
        <v>22356</v>
      </c>
      <c r="L102" s="1015"/>
      <c r="M102" s="263"/>
      <c r="N102" s="263"/>
      <c r="O102" s="10" t="s">
        <v>76</v>
      </c>
      <c r="P102" s="104" t="s">
        <v>76</v>
      </c>
      <c r="Q102" s="104" t="s">
        <v>76</v>
      </c>
      <c r="R102" s="105" t="s">
        <v>76</v>
      </c>
      <c r="S102" s="111" t="s">
        <v>76</v>
      </c>
    </row>
    <row r="103" spans="2:19">
      <c r="B103" s="254" t="str">
        <f t="shared" si="6"/>
        <v>Matelac RAL 7021</v>
      </c>
      <c r="C103" s="1020">
        <f t="shared" si="7"/>
        <v>2502.9</v>
      </c>
      <c r="D103" s="1020">
        <f t="shared" si="5"/>
        <v>0</v>
      </c>
      <c r="E103" s="1004">
        <v>2502.9</v>
      </c>
      <c r="F103" s="1005"/>
      <c r="G103" s="1009">
        <v>97.2</v>
      </c>
      <c r="H103" s="1009"/>
      <c r="I103" s="1009">
        <v>373.84615384615387</v>
      </c>
      <c r="J103" s="1009"/>
      <c r="K103" s="1014">
        <v>22356</v>
      </c>
      <c r="L103" s="1015"/>
      <c r="M103" s="263"/>
      <c r="N103" s="263"/>
      <c r="O103" s="10" t="s">
        <v>72</v>
      </c>
      <c r="P103" s="104" t="s">
        <v>72</v>
      </c>
      <c r="Q103" s="104" t="s">
        <v>72</v>
      </c>
      <c r="R103" s="105" t="s">
        <v>72</v>
      </c>
      <c r="S103" s="111" t="s">
        <v>72</v>
      </c>
    </row>
    <row r="104" spans="2:19">
      <c r="B104" s="254" t="str">
        <f t="shared" si="6"/>
        <v>Matelac RAL 9003</v>
      </c>
      <c r="C104" s="1020">
        <f t="shared" si="7"/>
        <v>2914.9</v>
      </c>
      <c r="D104" s="1020">
        <f t="shared" si="5"/>
        <v>0</v>
      </c>
      <c r="E104" s="1004">
        <v>2914.9</v>
      </c>
      <c r="F104" s="1005"/>
      <c r="G104" s="1009">
        <v>113.2</v>
      </c>
      <c r="H104" s="1009"/>
      <c r="I104" s="1009">
        <v>435.38461538461536</v>
      </c>
      <c r="J104" s="1009"/>
      <c r="K104" s="1014">
        <v>26035.999999999996</v>
      </c>
      <c r="L104" s="1015"/>
      <c r="M104" s="263"/>
      <c r="N104" s="263"/>
      <c r="O104" s="10" t="s">
        <v>69</v>
      </c>
      <c r="P104" s="104" t="s">
        <v>69</v>
      </c>
      <c r="Q104" s="104" t="s">
        <v>69</v>
      </c>
      <c r="R104" s="105" t="s">
        <v>69</v>
      </c>
      <c r="S104" s="111" t="s">
        <v>69</v>
      </c>
    </row>
    <row r="105" spans="2:19">
      <c r="B105" s="254" t="str">
        <f t="shared" si="6"/>
        <v>Matelac RAL 9005</v>
      </c>
      <c r="C105" s="1020">
        <f t="shared" si="7"/>
        <v>2502.9</v>
      </c>
      <c r="D105" s="1020">
        <f t="shared" si="5"/>
        <v>0</v>
      </c>
      <c r="E105" s="1004">
        <v>2502.9</v>
      </c>
      <c r="F105" s="1005"/>
      <c r="G105" s="1009">
        <v>97.2</v>
      </c>
      <c r="H105" s="1009"/>
      <c r="I105" s="1009">
        <v>373.84615384615387</v>
      </c>
      <c r="J105" s="1009"/>
      <c r="K105" s="1014">
        <v>22356</v>
      </c>
      <c r="L105" s="1015"/>
      <c r="M105" s="263"/>
      <c r="N105" s="263"/>
      <c r="O105" s="10" t="s">
        <v>73</v>
      </c>
      <c r="P105" s="104" t="s">
        <v>73</v>
      </c>
      <c r="Q105" s="104" t="s">
        <v>73</v>
      </c>
      <c r="R105" s="105" t="s">
        <v>73</v>
      </c>
      <c r="S105" s="111" t="s">
        <v>73</v>
      </c>
    </row>
    <row r="106" spans="2:19">
      <c r="B106" s="254" t="str">
        <f t="shared" si="6"/>
        <v>Matelac RAL 9006</v>
      </c>
      <c r="C106" s="1020">
        <f t="shared" si="7"/>
        <v>2502.9</v>
      </c>
      <c r="D106" s="1020">
        <f t="shared" si="5"/>
        <v>0</v>
      </c>
      <c r="E106" s="1004">
        <v>2502.9</v>
      </c>
      <c r="F106" s="1005"/>
      <c r="G106" s="1009">
        <v>97.2</v>
      </c>
      <c r="H106" s="1009"/>
      <c r="I106" s="1009">
        <v>373.84615384615387</v>
      </c>
      <c r="J106" s="1009"/>
      <c r="K106" s="1014">
        <v>22356</v>
      </c>
      <c r="L106" s="1015"/>
      <c r="M106" s="263"/>
      <c r="N106" s="263"/>
      <c r="O106" s="10" t="s">
        <v>71</v>
      </c>
      <c r="P106" s="104" t="s">
        <v>71</v>
      </c>
      <c r="Q106" s="104" t="s">
        <v>71</v>
      </c>
      <c r="R106" s="105" t="s">
        <v>71</v>
      </c>
      <c r="S106" s="111" t="s">
        <v>71</v>
      </c>
    </row>
    <row r="107" spans="2:19">
      <c r="B107" s="254" t="str">
        <f t="shared" si="6"/>
        <v>Matelac RAL 9010</v>
      </c>
      <c r="C107" s="1020">
        <f t="shared" si="7"/>
        <v>2502.9</v>
      </c>
      <c r="D107" s="1020">
        <f t="shared" si="5"/>
        <v>0</v>
      </c>
      <c r="E107" s="1004">
        <v>2502.9</v>
      </c>
      <c r="F107" s="1005"/>
      <c r="G107" s="1009">
        <v>97.2</v>
      </c>
      <c r="H107" s="1009"/>
      <c r="I107" s="1009">
        <v>373.84615384615387</v>
      </c>
      <c r="J107" s="1009"/>
      <c r="K107" s="1014">
        <v>22356</v>
      </c>
      <c r="L107" s="1015"/>
      <c r="M107" s="263"/>
      <c r="N107" s="263"/>
      <c r="O107" s="10" t="s">
        <v>70</v>
      </c>
      <c r="P107" s="104" t="s">
        <v>70</v>
      </c>
      <c r="Q107" s="104" t="s">
        <v>70</v>
      </c>
      <c r="R107" s="105" t="s">
        <v>70</v>
      </c>
      <c r="S107" s="111" t="s">
        <v>70</v>
      </c>
    </row>
    <row r="108" spans="2:19">
      <c r="B108" s="254" t="str">
        <f t="shared" si="6"/>
        <v>Matelac REF 1435</v>
      </c>
      <c r="C108" s="1020">
        <f t="shared" si="7"/>
        <v>2502.9</v>
      </c>
      <c r="D108" s="1020">
        <f t="shared" si="5"/>
        <v>0</v>
      </c>
      <c r="E108" s="1004">
        <v>2502.9</v>
      </c>
      <c r="F108" s="1005"/>
      <c r="G108" s="1010">
        <v>97.2</v>
      </c>
      <c r="H108" s="1010"/>
      <c r="I108" s="1010">
        <v>373.84615384615387</v>
      </c>
      <c r="J108" s="1010"/>
      <c r="K108" s="1001">
        <v>22356</v>
      </c>
      <c r="L108" s="1002"/>
      <c r="M108" s="265"/>
      <c r="N108" s="265"/>
      <c r="O108" s="11" t="s">
        <v>68</v>
      </c>
      <c r="P108" s="104" t="s">
        <v>68</v>
      </c>
      <c r="Q108" s="104" t="s">
        <v>68</v>
      </c>
      <c r="R108" s="105" t="s">
        <v>68</v>
      </c>
      <c r="S108" s="111" t="s">
        <v>68</v>
      </c>
    </row>
    <row r="109" spans="2:19">
      <c r="B109" s="254" t="str">
        <f t="shared" si="6"/>
        <v>Matelac REF 1586</v>
      </c>
      <c r="C109" s="1020">
        <f t="shared" si="7"/>
        <v>2502.9</v>
      </c>
      <c r="D109" s="1020">
        <f t="shared" si="5"/>
        <v>0</v>
      </c>
      <c r="E109" s="1004">
        <v>2502.9</v>
      </c>
      <c r="F109" s="1005"/>
      <c r="G109" s="1009">
        <v>97.2</v>
      </c>
      <c r="H109" s="1009"/>
      <c r="I109" s="1009">
        <v>373.84615384615387</v>
      </c>
      <c r="J109" s="1009"/>
      <c r="K109" s="1014">
        <v>22356</v>
      </c>
      <c r="L109" s="1015"/>
      <c r="M109" s="16"/>
      <c r="N109" s="16"/>
      <c r="O109" s="13" t="s">
        <v>75</v>
      </c>
      <c r="P109" s="104" t="s">
        <v>75</v>
      </c>
      <c r="Q109" s="104" t="s">
        <v>75</v>
      </c>
      <c r="R109" s="105" t="s">
        <v>75</v>
      </c>
      <c r="S109" s="111" t="s">
        <v>75</v>
      </c>
    </row>
    <row r="110" spans="2:19">
      <c r="B110" s="254" t="str">
        <f t="shared" si="6"/>
        <v>Matelac zrcadlo bronz</v>
      </c>
      <c r="C110" s="1020">
        <f t="shared" si="7"/>
        <v>2708.9</v>
      </c>
      <c r="D110" s="1020">
        <f t="shared" si="5"/>
        <v>0</v>
      </c>
      <c r="E110" s="1004">
        <v>2708.9</v>
      </c>
      <c r="F110" s="1005"/>
      <c r="G110" s="1010">
        <v>105.2</v>
      </c>
      <c r="H110" s="1010"/>
      <c r="I110" s="1010">
        <v>404.61538461538464</v>
      </c>
      <c r="J110" s="1010"/>
      <c r="K110" s="1001">
        <v>24195.999999999996</v>
      </c>
      <c r="L110" s="1002"/>
      <c r="M110" s="16"/>
      <c r="N110" s="16"/>
      <c r="O110" s="13" t="s">
        <v>82</v>
      </c>
      <c r="P110" s="104" t="s">
        <v>542</v>
      </c>
      <c r="Q110" s="104" t="s">
        <v>539</v>
      </c>
      <c r="R110" s="105" t="s">
        <v>620</v>
      </c>
      <c r="S110" s="111" t="s">
        <v>1752</v>
      </c>
    </row>
    <row r="111" spans="2:19">
      <c r="B111" s="254" t="str">
        <f t="shared" si="6"/>
        <v>Matelac zrcadlo grafit</v>
      </c>
      <c r="C111" s="1020">
        <f t="shared" si="7"/>
        <v>3038.5</v>
      </c>
      <c r="D111" s="1020">
        <f t="shared" si="5"/>
        <v>0</v>
      </c>
      <c r="E111" s="1004">
        <v>3038.5</v>
      </c>
      <c r="F111" s="1005"/>
      <c r="G111" s="1009">
        <v>118</v>
      </c>
      <c r="H111" s="1009"/>
      <c r="I111" s="1009">
        <v>453.84615384615387</v>
      </c>
      <c r="J111" s="1009"/>
      <c r="K111" s="1014">
        <v>27139.999999999996</v>
      </c>
      <c r="L111" s="1015"/>
      <c r="M111" s="16"/>
      <c r="N111" s="16"/>
      <c r="O111" s="13" t="s">
        <v>84</v>
      </c>
      <c r="P111" s="104" t="s">
        <v>544</v>
      </c>
      <c r="Q111" s="104" t="s">
        <v>541</v>
      </c>
      <c r="R111" s="105" t="s">
        <v>622</v>
      </c>
      <c r="S111" s="111" t="s">
        <v>1753</v>
      </c>
    </row>
    <row r="112" spans="2:19">
      <c r="B112" s="254" t="str">
        <f t="shared" si="6"/>
        <v>Matelac zrcadlo stříbr.</v>
      </c>
      <c r="C112" s="1020">
        <f t="shared" si="7"/>
        <v>2708.9</v>
      </c>
      <c r="D112" s="1020">
        <f t="shared" si="5"/>
        <v>0</v>
      </c>
      <c r="E112" s="1004">
        <v>2708.9</v>
      </c>
      <c r="F112" s="1005"/>
      <c r="G112" s="1010">
        <v>105.2</v>
      </c>
      <c r="H112" s="1010"/>
      <c r="I112" s="1010">
        <v>404.61538461538464</v>
      </c>
      <c r="J112" s="1010"/>
      <c r="K112" s="1001">
        <v>24195.999999999996</v>
      </c>
      <c r="L112" s="1002"/>
      <c r="M112" s="16"/>
      <c r="N112" s="16"/>
      <c r="O112" s="13" t="s">
        <v>83</v>
      </c>
      <c r="P112" s="106" t="s">
        <v>1663</v>
      </c>
      <c r="Q112" s="106" t="s">
        <v>1664</v>
      </c>
      <c r="R112" s="107" t="s">
        <v>1665</v>
      </c>
      <c r="S112" s="111" t="s">
        <v>1754</v>
      </c>
    </row>
    <row r="113" spans="2:19">
      <c r="B113" s="235"/>
      <c r="C113" s="236"/>
      <c r="D113" s="237"/>
      <c r="E113" s="238"/>
      <c r="F113" s="238"/>
      <c r="G113" s="239"/>
      <c r="H113" s="239"/>
      <c r="I113" s="239"/>
      <c r="J113" s="239"/>
      <c r="K113" s="240"/>
      <c r="L113" s="241"/>
      <c r="M113" s="266"/>
      <c r="N113" s="266"/>
      <c r="O113" s="235"/>
      <c r="P113" s="104" t="s">
        <v>75</v>
      </c>
      <c r="Q113" s="104" t="s">
        <v>75</v>
      </c>
      <c r="R113" s="105" t="s">
        <v>75</v>
      </c>
      <c r="S113" s="111"/>
    </row>
    <row r="114" spans="2:19">
      <c r="B114" s="235"/>
      <c r="C114" s="236"/>
      <c r="D114" s="237"/>
      <c r="E114" s="238"/>
      <c r="F114" s="238"/>
      <c r="G114" s="239"/>
      <c r="H114" s="239"/>
      <c r="I114" s="239"/>
      <c r="J114" s="239"/>
      <c r="K114" s="240"/>
      <c r="L114" s="241"/>
      <c r="M114" s="266"/>
      <c r="N114" s="266"/>
      <c r="O114" s="235"/>
      <c r="P114" s="104" t="s">
        <v>542</v>
      </c>
      <c r="Q114" s="104" t="s">
        <v>539</v>
      </c>
      <c r="R114" s="105" t="s">
        <v>620</v>
      </c>
      <c r="S114" s="111"/>
    </row>
    <row r="115" spans="2:19">
      <c r="B115" s="235"/>
      <c r="C115" s="236"/>
      <c r="D115" s="237"/>
      <c r="E115" s="238"/>
      <c r="F115" s="238"/>
      <c r="G115" s="239"/>
      <c r="H115" s="239"/>
      <c r="I115" s="239"/>
      <c r="J115" s="239"/>
      <c r="K115" s="240"/>
      <c r="L115" s="241"/>
      <c r="M115" s="266"/>
      <c r="N115" s="266"/>
      <c r="O115" s="235"/>
      <c r="P115" s="104" t="s">
        <v>544</v>
      </c>
      <c r="Q115" s="104" t="s">
        <v>541</v>
      </c>
      <c r="R115" s="105" t="s">
        <v>622</v>
      </c>
      <c r="S115" s="111"/>
    </row>
    <row r="116" spans="2:19">
      <c r="B116" s="235"/>
      <c r="C116" s="236"/>
      <c r="D116" s="237"/>
      <c r="E116" s="238"/>
      <c r="F116" s="238"/>
      <c r="G116" s="239"/>
      <c r="H116" s="239"/>
      <c r="I116" s="239"/>
      <c r="J116" s="239"/>
      <c r="K116" s="240"/>
      <c r="L116" s="241"/>
      <c r="M116" s="266"/>
      <c r="N116" s="266"/>
      <c r="O116" s="235"/>
      <c r="P116" s="106" t="s">
        <v>543</v>
      </c>
      <c r="Q116" s="106" t="s">
        <v>540</v>
      </c>
      <c r="R116" s="107" t="s">
        <v>621</v>
      </c>
      <c r="S116" s="111"/>
    </row>
    <row r="117" spans="2:19">
      <c r="B117" s="235"/>
      <c r="C117" s="236"/>
      <c r="D117" s="237"/>
      <c r="E117" s="238"/>
      <c r="F117" s="238"/>
      <c r="G117" s="239"/>
      <c r="H117" s="239"/>
      <c r="I117" s="239"/>
      <c r="J117" s="239"/>
      <c r="K117" s="240"/>
      <c r="L117" s="241"/>
      <c r="M117" s="266"/>
      <c r="N117" s="266"/>
      <c r="O117" s="235"/>
      <c r="P117" s="242"/>
      <c r="Q117" s="242"/>
      <c r="R117" s="243"/>
      <c r="S117" s="111"/>
    </row>
    <row r="118" spans="2:19">
      <c r="B118" s="11"/>
      <c r="C118" s="1003"/>
      <c r="D118" s="1003"/>
      <c r="E118" s="1003"/>
      <c r="F118" s="1003"/>
      <c r="G118" s="1010"/>
      <c r="H118" s="1010"/>
      <c r="I118" s="1010"/>
      <c r="J118" s="1010"/>
      <c r="K118" s="1001"/>
      <c r="L118" s="1002"/>
      <c r="M118" s="265"/>
      <c r="N118" s="265"/>
      <c r="O118" s="11"/>
      <c r="P118" s="106"/>
      <c r="Q118" s="106"/>
      <c r="R118" s="107"/>
      <c r="S118" s="111"/>
    </row>
    <row r="119" spans="2:19">
      <c r="B119" s="13"/>
      <c r="C119" s="14"/>
      <c r="D119" s="14"/>
      <c r="E119" s="14"/>
      <c r="F119" s="14"/>
      <c r="G119" s="15"/>
      <c r="H119" s="15"/>
      <c r="I119" s="15"/>
      <c r="J119" s="15"/>
      <c r="K119" s="16"/>
      <c r="L119" s="16"/>
      <c r="M119" s="16"/>
      <c r="N119" s="16"/>
      <c r="O119" s="13"/>
      <c r="S119" s="111"/>
    </row>
    <row r="120" spans="2:19">
      <c r="B120" s="13" t="s">
        <v>107</v>
      </c>
      <c r="C120" s="14"/>
      <c r="D120" s="14"/>
      <c r="E120" s="14"/>
      <c r="F120" s="14"/>
      <c r="G120" s="15"/>
      <c r="H120" s="15"/>
      <c r="I120" s="15"/>
      <c r="J120" s="15"/>
      <c r="K120" s="16"/>
      <c r="L120" s="16"/>
      <c r="M120" s="16"/>
      <c r="N120" s="16"/>
      <c r="O120" s="13"/>
      <c r="S120" s="111"/>
    </row>
    <row r="121" spans="2:19">
      <c r="B121" s="1" t="s">
        <v>100</v>
      </c>
      <c r="C121" s="1003">
        <f t="shared" ref="C121:D124" si="8">IF($D$1=1,E121,IF($D$1=2,G121,IF($D$1=3,I121,IF($D$1=4,K121,0))))</f>
        <v>30</v>
      </c>
      <c r="D121" s="1003">
        <f t="shared" si="8"/>
        <v>0</v>
      </c>
      <c r="E121" s="788">
        <v>30</v>
      </c>
      <c r="F121" s="788"/>
      <c r="G121" s="1010">
        <f>E121/$H$3</f>
        <v>1.2</v>
      </c>
      <c r="H121" s="1010"/>
      <c r="I121" s="1010">
        <f>E121/$J$3</f>
        <v>4.615384615384615</v>
      </c>
      <c r="J121" s="1010"/>
      <c r="K121" s="1001">
        <f>E121*$L$3</f>
        <v>276</v>
      </c>
      <c r="L121" s="1002"/>
      <c r="M121" s="16"/>
      <c r="N121" s="16"/>
      <c r="O121" s="13"/>
      <c r="S121" s="111"/>
    </row>
    <row r="122" spans="2:19">
      <c r="B122" s="1" t="s">
        <v>101</v>
      </c>
      <c r="C122" s="1003">
        <f t="shared" si="8"/>
        <v>30</v>
      </c>
      <c r="D122" s="1003">
        <f t="shared" si="8"/>
        <v>0</v>
      </c>
      <c r="E122" s="788">
        <v>30</v>
      </c>
      <c r="F122" s="788"/>
      <c r="G122" s="1010">
        <f>E122/$H$3</f>
        <v>1.2</v>
      </c>
      <c r="H122" s="1010"/>
      <c r="I122" s="1010">
        <f>E122/$J$3</f>
        <v>4.615384615384615</v>
      </c>
      <c r="J122" s="1010"/>
      <c r="K122" s="1001">
        <f>E122*$L$3</f>
        <v>276</v>
      </c>
      <c r="L122" s="1002"/>
      <c r="M122" s="16"/>
      <c r="N122" s="16"/>
      <c r="O122" s="13"/>
      <c r="S122" s="111"/>
    </row>
    <row r="123" spans="2:19">
      <c r="B123" s="1" t="s">
        <v>102</v>
      </c>
      <c r="C123" s="1003">
        <f t="shared" si="8"/>
        <v>30</v>
      </c>
      <c r="D123" s="1003">
        <f t="shared" si="8"/>
        <v>0</v>
      </c>
      <c r="E123" s="788">
        <v>30</v>
      </c>
      <c r="F123" s="788"/>
      <c r="G123" s="1010">
        <f>E123/$H$3</f>
        <v>1.2</v>
      </c>
      <c r="H123" s="1010"/>
      <c r="I123" s="1010">
        <f>E123/$J$3</f>
        <v>4.615384615384615</v>
      </c>
      <c r="J123" s="1010"/>
      <c r="K123" s="1001">
        <f>E123*$L$3</f>
        <v>276</v>
      </c>
      <c r="L123" s="1002"/>
      <c r="M123" s="16"/>
      <c r="N123" s="16"/>
      <c r="O123" s="13"/>
      <c r="S123" s="111"/>
    </row>
    <row r="124" spans="2:19">
      <c r="B124" s="1" t="s">
        <v>108</v>
      </c>
      <c r="C124" s="1003">
        <f t="shared" si="8"/>
        <v>30</v>
      </c>
      <c r="D124" s="1003">
        <f t="shared" si="8"/>
        <v>0</v>
      </c>
      <c r="E124" s="788">
        <v>30</v>
      </c>
      <c r="F124" s="788"/>
      <c r="G124" s="1010">
        <f>E124/$H$3</f>
        <v>1.2</v>
      </c>
      <c r="H124" s="1010"/>
      <c r="I124" s="1010">
        <f>E124/$J$3</f>
        <v>4.615384615384615</v>
      </c>
      <c r="J124" s="1010"/>
      <c r="K124" s="1001">
        <f>E124*$L$3</f>
        <v>276</v>
      </c>
      <c r="L124" s="1002"/>
      <c r="M124" s="16"/>
      <c r="N124" s="16"/>
      <c r="O124" s="13"/>
      <c r="S124" s="111"/>
    </row>
    <row r="125" spans="2:19">
      <c r="B125" s="1"/>
      <c r="C125" s="14"/>
      <c r="D125" s="14"/>
      <c r="E125" s="14"/>
      <c r="F125" s="14"/>
      <c r="G125" s="15"/>
      <c r="H125" s="15"/>
      <c r="I125" s="15"/>
      <c r="J125" s="15"/>
      <c r="K125" s="16"/>
      <c r="L125" s="16"/>
      <c r="M125" s="16"/>
      <c r="N125" s="16"/>
      <c r="O125" s="13"/>
      <c r="S125" s="111"/>
    </row>
    <row r="126" spans="2:19">
      <c r="B126" s="1"/>
      <c r="C126" s="14"/>
      <c r="D126" s="14"/>
      <c r="E126" s="14"/>
      <c r="F126" s="14"/>
      <c r="G126" s="15"/>
      <c r="H126" s="15"/>
      <c r="I126" s="15"/>
      <c r="J126" s="15"/>
      <c r="K126" s="16"/>
      <c r="L126" s="16"/>
      <c r="M126" s="16"/>
      <c r="N126" s="16"/>
      <c r="O126" s="13"/>
      <c r="S126" s="111"/>
    </row>
    <row r="127" spans="2:19">
      <c r="B127" s="1"/>
      <c r="C127" s="14"/>
      <c r="D127" s="14"/>
      <c r="E127" s="14"/>
      <c r="F127" s="14"/>
      <c r="G127" s="15"/>
      <c r="H127" s="15"/>
      <c r="I127" s="15"/>
      <c r="J127" s="15"/>
      <c r="K127" s="16"/>
      <c r="L127" s="16"/>
      <c r="M127" s="16"/>
      <c r="N127" s="16"/>
      <c r="S127" s="111"/>
    </row>
    <row r="128" spans="2:19">
      <c r="S128" s="111"/>
    </row>
    <row r="129" spans="2:19">
      <c r="B129" s="254" t="str">
        <f t="shared" ref="B129:B192" si="9">IF($D$1=1,O:O,IF($D$1=2,P:P,IF($D$1=3,Q:Q,IF($D$1=4,R:R,IF($D$1=5,S:S)))))</f>
        <v>Rámeček</v>
      </c>
      <c r="C129">
        <v>1</v>
      </c>
      <c r="O129" s="134" t="s">
        <v>1755</v>
      </c>
      <c r="P129" s="72" t="s">
        <v>1756</v>
      </c>
      <c r="Q129" s="72" t="s">
        <v>474</v>
      </c>
      <c r="R129" s="72" t="s">
        <v>639</v>
      </c>
      <c r="S129" s="111" t="s">
        <v>1757</v>
      </c>
    </row>
    <row r="130" spans="2:19">
      <c r="B130" s="254" t="str">
        <f t="shared" si="9"/>
        <v xml:space="preserve">Standardní vrtání otvoru pro misku závěsu je 3 mm od hrany. </v>
      </c>
      <c r="C130">
        <v>2</v>
      </c>
      <c r="O130" s="134" t="s">
        <v>809</v>
      </c>
      <c r="P130" s="72" t="s">
        <v>853</v>
      </c>
      <c r="Q130" s="72" t="s">
        <v>1669</v>
      </c>
      <c r="R130" s="72" t="s">
        <v>866</v>
      </c>
      <c r="S130" s="111" t="s">
        <v>1758</v>
      </c>
    </row>
    <row r="131" spans="2:19">
      <c r="B131" s="254" t="str">
        <f t="shared" si="9"/>
        <v>Uvedené ceny jsou bez DPH a nezahrnují cenu požadovaného kování!</v>
      </c>
      <c r="C131">
        <v>3</v>
      </c>
      <c r="O131" s="134" t="s">
        <v>746</v>
      </c>
      <c r="P131" s="72" t="s">
        <v>854</v>
      </c>
      <c r="Q131" s="72" t="s">
        <v>1670</v>
      </c>
      <c r="R131" s="72" t="s">
        <v>867</v>
      </c>
      <c r="S131" s="111" t="s">
        <v>1759</v>
      </c>
    </row>
    <row r="132" spans="2:19">
      <c r="B132" s="254" t="str">
        <f t="shared" si="9"/>
        <v>Typ profilu</v>
      </c>
      <c r="C132">
        <v>4</v>
      </c>
      <c r="O132" s="134" t="s">
        <v>408</v>
      </c>
      <c r="P132" s="72" t="s">
        <v>408</v>
      </c>
      <c r="Q132" s="72" t="s">
        <v>627</v>
      </c>
      <c r="R132" s="72" t="s">
        <v>640</v>
      </c>
      <c r="S132" s="111" t="s">
        <v>1760</v>
      </c>
    </row>
    <row r="133" spans="2:19">
      <c r="B133" s="254" t="str">
        <f t="shared" si="9"/>
        <v>Typ skla</v>
      </c>
      <c r="C133">
        <v>5</v>
      </c>
      <c r="O133" s="134" t="s">
        <v>18</v>
      </c>
      <c r="P133" s="72" t="s">
        <v>18</v>
      </c>
      <c r="Q133" s="72" t="s">
        <v>26</v>
      </c>
      <c r="R133" s="72" t="s">
        <v>549</v>
      </c>
      <c r="S133" s="111" t="s">
        <v>1761</v>
      </c>
    </row>
    <row r="134" spans="2:19">
      <c r="B134" s="254" t="str">
        <f t="shared" si="9"/>
        <v>Počet kusů</v>
      </c>
      <c r="C134">
        <v>6</v>
      </c>
      <c r="O134" s="134" t="s">
        <v>17</v>
      </c>
      <c r="P134" s="72" t="s">
        <v>415</v>
      </c>
      <c r="Q134" s="72" t="s">
        <v>27</v>
      </c>
      <c r="R134" s="72" t="s">
        <v>550</v>
      </c>
      <c r="S134" s="111" t="s">
        <v>1762</v>
      </c>
    </row>
    <row r="135" spans="2:19">
      <c r="B135" s="254" t="str">
        <f t="shared" si="9"/>
        <v xml:space="preserve">Šířka </v>
      </c>
      <c r="C135">
        <v>7</v>
      </c>
      <c r="O135" s="134" t="s">
        <v>16</v>
      </c>
      <c r="P135" s="72" t="s">
        <v>416</v>
      </c>
      <c r="Q135" s="72" t="s">
        <v>23</v>
      </c>
      <c r="R135" s="72" t="s">
        <v>551</v>
      </c>
      <c r="S135" s="111" t="s">
        <v>1763</v>
      </c>
    </row>
    <row r="136" spans="2:19" ht="15" customHeight="1">
      <c r="B136" s="254" t="str">
        <f t="shared" si="9"/>
        <v>Výška</v>
      </c>
      <c r="C136">
        <v>8</v>
      </c>
      <c r="O136" s="134" t="s">
        <v>28</v>
      </c>
      <c r="P136" s="72" t="s">
        <v>28</v>
      </c>
      <c r="Q136" s="72" t="s">
        <v>24</v>
      </c>
      <c r="R136" s="72" t="s">
        <v>552</v>
      </c>
      <c r="S136" s="111" t="s">
        <v>1764</v>
      </c>
    </row>
    <row r="137" spans="2:19">
      <c r="B137" s="254" t="str">
        <f t="shared" si="9"/>
        <v>Poznámky</v>
      </c>
      <c r="C137">
        <v>9</v>
      </c>
      <c r="O137" s="134" t="s">
        <v>625</v>
      </c>
      <c r="P137" s="72" t="s">
        <v>625</v>
      </c>
      <c r="Q137" s="72" t="s">
        <v>475</v>
      </c>
      <c r="R137" s="72" t="s">
        <v>626</v>
      </c>
      <c r="S137" s="111" t="s">
        <v>1765</v>
      </c>
    </row>
    <row r="138" spans="2:19">
      <c r="B138" s="254" t="str">
        <f t="shared" si="9"/>
        <v>Cena rámečků celkem</v>
      </c>
      <c r="C138">
        <v>10</v>
      </c>
      <c r="O138" s="134" t="s">
        <v>30</v>
      </c>
      <c r="P138" s="72" t="s">
        <v>417</v>
      </c>
      <c r="Q138" s="72" t="s">
        <v>476</v>
      </c>
      <c r="R138" s="72" t="s">
        <v>553</v>
      </c>
      <c r="S138" s="111" t="s">
        <v>1766</v>
      </c>
    </row>
    <row r="139" spans="2:19">
      <c r="B139" s="254" t="str">
        <f t="shared" si="9"/>
        <v>Cena kování celkem</v>
      </c>
      <c r="C139">
        <v>11</v>
      </c>
      <c r="O139" s="135" t="s">
        <v>31</v>
      </c>
      <c r="P139" s="72" t="s">
        <v>418</v>
      </c>
      <c r="Q139" s="72" t="s">
        <v>477</v>
      </c>
      <c r="R139" s="72" t="s">
        <v>554</v>
      </c>
      <c r="S139" s="111" t="s">
        <v>1767</v>
      </c>
    </row>
    <row r="140" spans="2:19">
      <c r="B140" s="254" t="str">
        <f t="shared" si="9"/>
        <v>Cena za kompletní objednávku</v>
      </c>
      <c r="C140">
        <v>12</v>
      </c>
      <c r="O140" s="135" t="s">
        <v>94</v>
      </c>
      <c r="P140" s="72" t="s">
        <v>419</v>
      </c>
      <c r="Q140" s="72" t="s">
        <v>478</v>
      </c>
      <c r="R140" s="72" t="s">
        <v>555</v>
      </c>
      <c r="S140" s="111" t="s">
        <v>1768</v>
      </c>
    </row>
    <row r="141" spans="2:19">
      <c r="B141" s="254" t="str">
        <f t="shared" si="9"/>
        <v>Závěsy</v>
      </c>
      <c r="C141">
        <v>13</v>
      </c>
      <c r="O141" s="134" t="s">
        <v>728</v>
      </c>
      <c r="P141" s="72" t="s">
        <v>729</v>
      </c>
      <c r="Q141" s="72" t="s">
        <v>730</v>
      </c>
      <c r="R141" s="72" t="s">
        <v>731</v>
      </c>
      <c r="S141" s="111" t="s">
        <v>1769</v>
      </c>
    </row>
    <row r="142" spans="2:19">
      <c r="B142" s="254" t="str">
        <f t="shared" si="9"/>
        <v>Aventos ostatní</v>
      </c>
      <c r="C142">
        <v>14</v>
      </c>
      <c r="O142" s="134" t="s">
        <v>732</v>
      </c>
      <c r="P142" s="72" t="s">
        <v>733</v>
      </c>
      <c r="Q142" s="72" t="s">
        <v>734</v>
      </c>
      <c r="R142" s="72" t="s">
        <v>735</v>
      </c>
      <c r="S142" s="111" t="s">
        <v>1770</v>
      </c>
    </row>
    <row r="143" spans="2:19">
      <c r="B143" s="254" t="str">
        <f t="shared" si="9"/>
        <v>STRONG s tlumením</v>
      </c>
      <c r="C143">
        <v>15</v>
      </c>
      <c r="O143" s="134" t="s">
        <v>1167</v>
      </c>
      <c r="P143" s="72" t="s">
        <v>1569</v>
      </c>
      <c r="Q143" s="72" t="s">
        <v>1570</v>
      </c>
      <c r="R143" s="72" t="s">
        <v>1571</v>
      </c>
      <c r="S143" s="111" t="s">
        <v>1771</v>
      </c>
    </row>
    <row r="144" spans="2:19">
      <c r="B144" s="254" t="str">
        <f t="shared" si="9"/>
        <v>Závěsy se zvedacím pístem</v>
      </c>
      <c r="C144">
        <v>16</v>
      </c>
      <c r="O144" s="134" t="s">
        <v>736</v>
      </c>
      <c r="P144" s="72" t="s">
        <v>737</v>
      </c>
      <c r="Q144" s="72" t="s">
        <v>738</v>
      </c>
      <c r="R144" s="72" t="s">
        <v>739</v>
      </c>
      <c r="S144" s="111" t="s">
        <v>1772</v>
      </c>
    </row>
    <row r="145" spans="2:19">
      <c r="B145" s="254" t="str">
        <f t="shared" si="9"/>
        <v>Horní dvířko</v>
      </c>
      <c r="C145">
        <v>17</v>
      </c>
      <c r="O145" s="134" t="s">
        <v>98</v>
      </c>
      <c r="P145" s="72" t="s">
        <v>420</v>
      </c>
      <c r="Q145" s="72" t="s">
        <v>479</v>
      </c>
      <c r="R145" s="72" t="s">
        <v>740</v>
      </c>
      <c r="S145" s="111" t="s">
        <v>1773</v>
      </c>
    </row>
    <row r="146" spans="2:19">
      <c r="B146" s="254" t="str">
        <f t="shared" si="9"/>
        <v>Spodní dvířko</v>
      </c>
      <c r="C146">
        <v>18</v>
      </c>
      <c r="O146" s="134" t="s">
        <v>97</v>
      </c>
      <c r="P146" s="72" t="s">
        <v>421</v>
      </c>
      <c r="Q146" s="72" t="s">
        <v>480</v>
      </c>
      <c r="R146" s="72" t="s">
        <v>556</v>
      </c>
      <c r="S146" s="111" t="s">
        <v>1774</v>
      </c>
    </row>
    <row r="147" spans="2:19">
      <c r="B147" s="254" t="str">
        <f t="shared" si="9"/>
        <v>Naložený clip</v>
      </c>
      <c r="C147">
        <v>19</v>
      </c>
      <c r="O147" s="136" t="s">
        <v>121</v>
      </c>
      <c r="P147" s="72" t="s">
        <v>121</v>
      </c>
      <c r="Q147" s="72" t="s">
        <v>481</v>
      </c>
      <c r="R147" s="72" t="s">
        <v>557</v>
      </c>
      <c r="S147" s="111" t="s">
        <v>1775</v>
      </c>
    </row>
    <row r="148" spans="2:19">
      <c r="B148" s="254" t="str">
        <f t="shared" si="9"/>
        <v>Polonaložený clip</v>
      </c>
      <c r="C148">
        <v>20</v>
      </c>
      <c r="O148" s="136" t="s">
        <v>122</v>
      </c>
      <c r="P148" s="72" t="s">
        <v>122</v>
      </c>
      <c r="Q148" s="72" t="s">
        <v>482</v>
      </c>
      <c r="R148" s="72" t="s">
        <v>558</v>
      </c>
      <c r="S148" s="111" t="s">
        <v>1776</v>
      </c>
    </row>
    <row r="149" spans="2:19">
      <c r="B149" s="254" t="str">
        <f t="shared" si="9"/>
        <v>Vložený clip</v>
      </c>
      <c r="C149">
        <v>21</v>
      </c>
      <c r="O149" s="136" t="s">
        <v>123</v>
      </c>
      <c r="P149" s="72" t="s">
        <v>123</v>
      </c>
      <c r="Q149" s="72" t="s">
        <v>483</v>
      </c>
      <c r="R149" s="72" t="s">
        <v>559</v>
      </c>
      <c r="S149" s="111" t="s">
        <v>1777</v>
      </c>
    </row>
    <row r="150" spans="2:19">
      <c r="B150" s="254" t="str">
        <f t="shared" si="9"/>
        <v>Úhel 45°</v>
      </c>
      <c r="C150">
        <v>22</v>
      </c>
      <c r="O150" s="136" t="s">
        <v>124</v>
      </c>
      <c r="P150" s="72" t="s">
        <v>422</v>
      </c>
      <c r="Q150" s="72" t="s">
        <v>484</v>
      </c>
      <c r="R150" s="72" t="s">
        <v>560</v>
      </c>
      <c r="S150" s="111" t="s">
        <v>1778</v>
      </c>
    </row>
    <row r="151" spans="2:19">
      <c r="B151" s="254" t="str">
        <f t="shared" si="9"/>
        <v>Naložený</v>
      </c>
      <c r="C151">
        <v>23</v>
      </c>
      <c r="O151" s="17" t="s">
        <v>125</v>
      </c>
      <c r="P151" s="72" t="s">
        <v>423</v>
      </c>
      <c r="Q151" s="72" t="s">
        <v>485</v>
      </c>
      <c r="R151" s="72" t="s">
        <v>561</v>
      </c>
      <c r="S151" s="111" t="s">
        <v>1779</v>
      </c>
    </row>
    <row r="152" spans="2:19">
      <c r="B152" s="254" t="str">
        <f t="shared" si="9"/>
        <v>Polonaložený</v>
      </c>
      <c r="C152">
        <v>24</v>
      </c>
      <c r="O152" s="17" t="s">
        <v>126</v>
      </c>
      <c r="P152" s="72" t="s">
        <v>424</v>
      </c>
      <c r="Q152" s="72" t="s">
        <v>486</v>
      </c>
      <c r="R152" s="72" t="s">
        <v>562</v>
      </c>
      <c r="S152" s="111" t="s">
        <v>1780</v>
      </c>
    </row>
    <row r="153" spans="2:19">
      <c r="B153" s="254" t="str">
        <f t="shared" si="9"/>
        <v>Vložený</v>
      </c>
      <c r="C153">
        <v>25</v>
      </c>
      <c r="O153" s="17" t="s">
        <v>127</v>
      </c>
      <c r="P153" s="72" t="s">
        <v>425</v>
      </c>
      <c r="Q153" s="72" t="s">
        <v>487</v>
      </c>
      <c r="R153" s="72" t="s">
        <v>563</v>
      </c>
      <c r="S153" s="111" t="s">
        <v>1781</v>
      </c>
    </row>
    <row r="154" spans="2:19">
      <c r="B154" s="254" t="str">
        <f t="shared" si="9"/>
        <v>Úhel 45°</v>
      </c>
      <c r="C154">
        <v>26</v>
      </c>
      <c r="O154" s="17" t="s">
        <v>124</v>
      </c>
      <c r="P154" s="72" t="s">
        <v>422</v>
      </c>
      <c r="Q154" s="72" t="s">
        <v>484</v>
      </c>
      <c r="R154" s="72" t="s">
        <v>124</v>
      </c>
      <c r="S154" s="111" t="s">
        <v>1778</v>
      </c>
    </row>
    <row r="155" spans="2:19">
      <c r="B155" s="254" t="str">
        <f t="shared" si="9"/>
        <v>Naložený s opačnou pružinou</v>
      </c>
      <c r="C155">
        <v>27</v>
      </c>
      <c r="O155" s="17" t="s">
        <v>128</v>
      </c>
      <c r="P155" s="72" t="s">
        <v>128</v>
      </c>
      <c r="Q155" s="72" t="s">
        <v>488</v>
      </c>
      <c r="R155" s="72" t="s">
        <v>564</v>
      </c>
      <c r="S155" s="111" t="s">
        <v>1782</v>
      </c>
    </row>
    <row r="156" spans="2:19">
      <c r="B156" s="254" t="str">
        <f t="shared" si="9"/>
        <v>Vložený s opačnou pružinou</v>
      </c>
      <c r="C156">
        <v>28</v>
      </c>
      <c r="O156" s="17" t="s">
        <v>129</v>
      </c>
      <c r="P156" s="72" t="s">
        <v>129</v>
      </c>
      <c r="Q156" s="72" t="s">
        <v>489</v>
      </c>
      <c r="R156" s="72" t="s">
        <v>565</v>
      </c>
      <c r="S156" s="111" t="s">
        <v>1783</v>
      </c>
    </row>
    <row r="157" spans="2:19">
      <c r="B157" s="254" t="str">
        <f t="shared" si="9"/>
        <v>Clip na vrut H2</v>
      </c>
      <c r="C157">
        <v>29</v>
      </c>
      <c r="O157" s="134" t="s">
        <v>212</v>
      </c>
      <c r="P157" s="72" t="s">
        <v>426</v>
      </c>
      <c r="Q157" s="72" t="s">
        <v>490</v>
      </c>
      <c r="R157" s="72" t="s">
        <v>566</v>
      </c>
      <c r="S157" s="111" t="s">
        <v>1784</v>
      </c>
    </row>
    <row r="158" spans="2:19">
      <c r="B158" s="254" t="str">
        <f t="shared" si="9"/>
        <v>Clip na vrut H4</v>
      </c>
      <c r="C158">
        <v>30</v>
      </c>
      <c r="O158" s="134" t="s">
        <v>213</v>
      </c>
      <c r="P158" s="72" t="s">
        <v>427</v>
      </c>
      <c r="Q158" s="72" t="s">
        <v>491</v>
      </c>
      <c r="R158" s="72" t="s">
        <v>567</v>
      </c>
      <c r="S158" s="111" t="s">
        <v>1785</v>
      </c>
    </row>
    <row r="159" spans="2:19">
      <c r="B159" s="254" t="str">
        <f t="shared" si="9"/>
        <v>Clip na eurošroub H2</v>
      </c>
      <c r="C159">
        <v>31</v>
      </c>
      <c r="O159" s="134" t="s">
        <v>214</v>
      </c>
      <c r="P159" s="72" t="s">
        <v>428</v>
      </c>
      <c r="Q159" s="72" t="s">
        <v>492</v>
      </c>
      <c r="R159" s="72" t="s">
        <v>568</v>
      </c>
      <c r="S159" s="111" t="s">
        <v>1786</v>
      </c>
    </row>
    <row r="160" spans="2:19">
      <c r="B160" s="254" t="str">
        <f t="shared" si="9"/>
        <v>Clip na eurošroub H4</v>
      </c>
      <c r="C160">
        <v>32</v>
      </c>
      <c r="O160" s="134" t="s">
        <v>215</v>
      </c>
      <c r="P160" s="72" t="s">
        <v>429</v>
      </c>
      <c r="Q160" s="72" t="s">
        <v>493</v>
      </c>
      <c r="R160" s="72" t="s">
        <v>569</v>
      </c>
      <c r="S160" s="111" t="s">
        <v>1787</v>
      </c>
    </row>
    <row r="161" spans="2:19">
      <c r="B161" s="254" t="str">
        <f t="shared" si="9"/>
        <v>Slide on na vrut H2</v>
      </c>
      <c r="C161">
        <v>33</v>
      </c>
      <c r="O161" s="134" t="s">
        <v>216</v>
      </c>
      <c r="P161" s="72" t="s">
        <v>430</v>
      </c>
      <c r="Q161" s="72" t="s">
        <v>494</v>
      </c>
      <c r="R161" s="72" t="s">
        <v>570</v>
      </c>
      <c r="S161" s="111" t="s">
        <v>1788</v>
      </c>
    </row>
    <row r="162" spans="2:19">
      <c r="B162" s="254" t="str">
        <f t="shared" si="9"/>
        <v>Slide on na vrut H4</v>
      </c>
      <c r="C162">
        <v>34</v>
      </c>
      <c r="O162" s="134" t="s">
        <v>217</v>
      </c>
      <c r="P162" s="72" t="s">
        <v>431</v>
      </c>
      <c r="Q162" s="72" t="s">
        <v>495</v>
      </c>
      <c r="R162" s="72" t="s">
        <v>571</v>
      </c>
      <c r="S162" s="111" t="s">
        <v>1789</v>
      </c>
    </row>
    <row r="163" spans="2:19">
      <c r="B163" s="254" t="str">
        <f t="shared" si="9"/>
        <v>Slide on na eurošroub H2</v>
      </c>
      <c r="C163">
        <v>35</v>
      </c>
      <c r="O163" s="134" t="s">
        <v>218</v>
      </c>
      <c r="P163" s="72" t="s">
        <v>432</v>
      </c>
      <c r="Q163" s="72" t="s">
        <v>496</v>
      </c>
      <c r="R163" s="72" t="s">
        <v>572</v>
      </c>
      <c r="S163" s="111" t="s">
        <v>1790</v>
      </c>
    </row>
    <row r="164" spans="2:19">
      <c r="B164" s="254" t="str">
        <f t="shared" si="9"/>
        <v>Slide on na eurošroub H4</v>
      </c>
      <c r="C164">
        <v>36</v>
      </c>
      <c r="O164" s="134" t="s">
        <v>219</v>
      </c>
      <c r="P164" s="72" t="s">
        <v>433</v>
      </c>
      <c r="Q164" s="72" t="s">
        <v>497</v>
      </c>
      <c r="R164" s="72" t="s">
        <v>573</v>
      </c>
      <c r="S164" s="111" t="s">
        <v>1791</v>
      </c>
    </row>
    <row r="165" spans="2:19">
      <c r="B165" s="254" t="str">
        <f t="shared" si="9"/>
        <v>Naložený pro Blumotion</v>
      </c>
      <c r="C165">
        <v>37</v>
      </c>
      <c r="O165" s="134" t="s">
        <v>203</v>
      </c>
      <c r="P165" s="72" t="s">
        <v>434</v>
      </c>
      <c r="Q165" s="72" t="s">
        <v>498</v>
      </c>
      <c r="R165" s="72" t="s">
        <v>574</v>
      </c>
      <c r="S165" s="111" t="s">
        <v>1792</v>
      </c>
    </row>
    <row r="166" spans="2:19">
      <c r="B166" s="254" t="str">
        <f t="shared" si="9"/>
        <v>Polonaložený s integr. Blumotionem</v>
      </c>
      <c r="C166">
        <v>38</v>
      </c>
      <c r="O166" s="134" t="s">
        <v>807</v>
      </c>
      <c r="P166" s="72" t="s">
        <v>855</v>
      </c>
      <c r="Q166" s="72" t="s">
        <v>868</v>
      </c>
      <c r="R166" s="72" t="s">
        <v>869</v>
      </c>
      <c r="S166" s="111" t="s">
        <v>1793</v>
      </c>
    </row>
    <row r="167" spans="2:19">
      <c r="B167" s="254" t="str">
        <f t="shared" si="9"/>
        <v>Vložený s integr. Blumotionem</v>
      </c>
      <c r="C167">
        <v>39</v>
      </c>
      <c r="O167" s="134" t="s">
        <v>808</v>
      </c>
      <c r="P167" s="72" t="s">
        <v>856</v>
      </c>
      <c r="Q167" s="72" t="s">
        <v>870</v>
      </c>
      <c r="R167" s="72" t="s">
        <v>871</v>
      </c>
      <c r="S167" s="111" t="s">
        <v>1794</v>
      </c>
    </row>
    <row r="168" spans="2:19">
      <c r="B168" s="254" t="str">
        <f t="shared" si="9"/>
        <v>45° clip naložený</v>
      </c>
      <c r="C168">
        <v>40</v>
      </c>
      <c r="O168" s="17" t="s">
        <v>205</v>
      </c>
      <c r="P168" s="72" t="s">
        <v>435</v>
      </c>
      <c r="Q168" s="72" t="s">
        <v>499</v>
      </c>
      <c r="R168" s="72" t="s">
        <v>575</v>
      </c>
      <c r="S168" s="111" t="s">
        <v>1795</v>
      </c>
    </row>
    <row r="169" spans="2:19">
      <c r="B169" s="254" t="str">
        <f t="shared" si="9"/>
        <v>45° clip polonaložený</v>
      </c>
      <c r="C169">
        <v>41</v>
      </c>
      <c r="O169" s="17" t="s">
        <v>204</v>
      </c>
      <c r="P169" s="72" t="s">
        <v>204</v>
      </c>
      <c r="Q169" s="72" t="s">
        <v>500</v>
      </c>
      <c r="R169" s="72" t="s">
        <v>576</v>
      </c>
      <c r="S169" s="111" t="s">
        <v>1796</v>
      </c>
    </row>
    <row r="170" spans="2:19">
      <c r="B170" s="254" t="str">
        <f t="shared" si="9"/>
        <v>Naložený bez pružiny</v>
      </c>
      <c r="C170">
        <v>42</v>
      </c>
      <c r="O170" s="17" t="s">
        <v>130</v>
      </c>
      <c r="P170" s="72" t="s">
        <v>130</v>
      </c>
      <c r="Q170" s="72" t="s">
        <v>501</v>
      </c>
      <c r="R170" s="72" t="s">
        <v>577</v>
      </c>
      <c r="S170" s="111" t="s">
        <v>1797</v>
      </c>
    </row>
    <row r="171" spans="2:19">
      <c r="B171" s="254" t="str">
        <f t="shared" si="9"/>
        <v>Naložený bez pružiny (TIP-ON)</v>
      </c>
      <c r="C171">
        <v>43</v>
      </c>
      <c r="O171" s="17" t="s">
        <v>206</v>
      </c>
      <c r="P171" s="72" t="s">
        <v>436</v>
      </c>
      <c r="Q171" s="72" t="s">
        <v>502</v>
      </c>
      <c r="R171" s="72" t="s">
        <v>578</v>
      </c>
      <c r="S171" s="111" t="s">
        <v>1798</v>
      </c>
    </row>
    <row r="172" spans="2:19">
      <c r="B172" s="254" t="str">
        <f t="shared" si="9"/>
        <v>Clip na eurošroub</v>
      </c>
      <c r="C172">
        <v>44</v>
      </c>
      <c r="O172" s="17" t="s">
        <v>208</v>
      </c>
      <c r="P172" s="72" t="s">
        <v>437</v>
      </c>
      <c r="Q172" s="72" t="s">
        <v>503</v>
      </c>
      <c r="R172" s="72" t="s">
        <v>579</v>
      </c>
      <c r="S172" s="111" t="s">
        <v>1799</v>
      </c>
    </row>
    <row r="173" spans="2:19">
      <c r="B173" s="254" t="str">
        <f t="shared" si="9"/>
        <v>Clip na vrut</v>
      </c>
      <c r="C173">
        <v>45</v>
      </c>
      <c r="O173" s="17" t="s">
        <v>207</v>
      </c>
      <c r="P173" s="72" t="s">
        <v>438</v>
      </c>
      <c r="Q173" s="72" t="s">
        <v>504</v>
      </c>
      <c r="R173" s="72" t="s">
        <v>580</v>
      </c>
      <c r="S173" s="111" t="s">
        <v>1800</v>
      </c>
    </row>
    <row r="174" spans="2:19">
      <c r="B174" s="254" t="str">
        <f t="shared" si="9"/>
        <v xml:space="preserve">Zvýšená o 6 mm </v>
      </c>
      <c r="C174">
        <v>46</v>
      </c>
      <c r="O174" s="17" t="s">
        <v>209</v>
      </c>
      <c r="P174" s="72" t="s">
        <v>439</v>
      </c>
      <c r="Q174" s="72" t="s">
        <v>505</v>
      </c>
      <c r="R174" s="72" t="s">
        <v>581</v>
      </c>
      <c r="S174" s="111" t="s">
        <v>1801</v>
      </c>
    </row>
    <row r="175" spans="2:19">
      <c r="B175" s="254" t="str">
        <f t="shared" si="9"/>
        <v>45° clip</v>
      </c>
      <c r="C175">
        <v>47</v>
      </c>
      <c r="O175" s="17" t="s">
        <v>10</v>
      </c>
      <c r="P175" s="72" t="s">
        <v>440</v>
      </c>
      <c r="Q175" s="72" t="s">
        <v>10</v>
      </c>
      <c r="R175" s="72" t="s">
        <v>10</v>
      </c>
      <c r="S175" s="111" t="s">
        <v>1802</v>
      </c>
    </row>
    <row r="176" spans="2:19">
      <c r="B176" s="254" t="str">
        <f t="shared" si="9"/>
        <v xml:space="preserve">Clip na eurošroub H0 </v>
      </c>
      <c r="C176">
        <v>48</v>
      </c>
      <c r="O176" s="17" t="s">
        <v>211</v>
      </c>
      <c r="P176" s="72" t="s">
        <v>441</v>
      </c>
      <c r="Q176" s="72" t="s">
        <v>506</v>
      </c>
      <c r="R176" s="72" t="s">
        <v>582</v>
      </c>
      <c r="S176" s="111" t="s">
        <v>1803</v>
      </c>
    </row>
    <row r="177" spans="2:19">
      <c r="B177" s="254" t="str">
        <f t="shared" si="9"/>
        <v>Clip na vrut H0</v>
      </c>
      <c r="C177">
        <v>49</v>
      </c>
      <c r="O177" s="17" t="s">
        <v>210</v>
      </c>
      <c r="P177" s="72" t="s">
        <v>442</v>
      </c>
      <c r="Q177" s="72" t="s">
        <v>507</v>
      </c>
      <c r="R177" s="72" t="s">
        <v>583</v>
      </c>
      <c r="S177" s="111" t="s">
        <v>1804</v>
      </c>
    </row>
    <row r="178" spans="2:19">
      <c r="B178" s="254" t="str">
        <f t="shared" si="9"/>
        <v>Výběr pozice rámečku</v>
      </c>
      <c r="C178">
        <v>50</v>
      </c>
      <c r="O178" s="17" t="s">
        <v>244</v>
      </c>
      <c r="P178" s="72" t="s">
        <v>443</v>
      </c>
      <c r="Q178" s="72" t="s">
        <v>508</v>
      </c>
      <c r="R178" s="72" t="s">
        <v>584</v>
      </c>
      <c r="S178" s="111" t="s">
        <v>1805</v>
      </c>
    </row>
    <row r="179" spans="2:19">
      <c r="B179" s="254" t="str">
        <f t="shared" si="9"/>
        <v>Výrobce závěsů</v>
      </c>
      <c r="C179">
        <v>51</v>
      </c>
      <c r="O179" s="17" t="s">
        <v>222</v>
      </c>
      <c r="P179" s="72" t="s">
        <v>444</v>
      </c>
      <c r="Q179" s="72" t="s">
        <v>509</v>
      </c>
      <c r="R179" s="72" t="s">
        <v>585</v>
      </c>
      <c r="S179" s="111" t="s">
        <v>1806</v>
      </c>
    </row>
    <row r="180" spans="2:19">
      <c r="B180" s="254" t="str">
        <f t="shared" si="9"/>
        <v>Typ závěsů</v>
      </c>
      <c r="C180">
        <v>52</v>
      </c>
      <c r="O180" s="17" t="s">
        <v>223</v>
      </c>
      <c r="P180" s="72" t="s">
        <v>445</v>
      </c>
      <c r="Q180" s="72" t="s">
        <v>510</v>
      </c>
      <c r="R180" s="72" t="s">
        <v>586</v>
      </c>
      <c r="S180" s="111" t="s">
        <v>1807</v>
      </c>
    </row>
    <row r="181" spans="2:19">
      <c r="B181" s="254" t="str">
        <f t="shared" si="9"/>
        <v>Typ Aventosu</v>
      </c>
      <c r="C181">
        <v>53</v>
      </c>
      <c r="O181" s="134" t="s">
        <v>224</v>
      </c>
      <c r="P181" s="72" t="s">
        <v>224</v>
      </c>
      <c r="Q181" s="72" t="s">
        <v>511</v>
      </c>
      <c r="R181" s="72" t="s">
        <v>587</v>
      </c>
      <c r="S181" s="111" t="s">
        <v>1808</v>
      </c>
    </row>
    <row r="182" spans="2:19">
      <c r="B182" s="254" t="str">
        <f t="shared" si="9"/>
        <v>Typ podložky</v>
      </c>
      <c r="C182">
        <v>54</v>
      </c>
      <c r="O182" s="134" t="s">
        <v>225</v>
      </c>
      <c r="P182" s="72" t="s">
        <v>225</v>
      </c>
      <c r="Q182" s="72" t="s">
        <v>512</v>
      </c>
      <c r="R182" s="72" t="s">
        <v>588</v>
      </c>
      <c r="S182" s="111" t="s">
        <v>1809</v>
      </c>
    </row>
    <row r="183" spans="2:19">
      <c r="B183" s="254" t="str">
        <f t="shared" si="9"/>
        <v>Počet závěsu na 1 rámeček</v>
      </c>
      <c r="C183">
        <v>55</v>
      </c>
      <c r="O183" s="134" t="s">
        <v>373</v>
      </c>
      <c r="P183" s="72" t="s">
        <v>446</v>
      </c>
      <c r="Q183" s="72" t="s">
        <v>513</v>
      </c>
      <c r="R183" s="72" t="s">
        <v>589</v>
      </c>
      <c r="S183" s="111" t="s">
        <v>1810</v>
      </c>
    </row>
    <row r="184" spans="2:19">
      <c r="B184" s="254" t="str">
        <f t="shared" si="9"/>
        <v>Zvedací písty</v>
      </c>
      <c r="C184">
        <v>56</v>
      </c>
      <c r="O184" s="134" t="s">
        <v>239</v>
      </c>
      <c r="P184" s="72" t="s">
        <v>447</v>
      </c>
      <c r="Q184" s="72" t="s">
        <v>514</v>
      </c>
      <c r="R184" s="72" t="s">
        <v>590</v>
      </c>
      <c r="S184" s="111" t="s">
        <v>1811</v>
      </c>
    </row>
    <row r="185" spans="2:19">
      <c r="B185" s="254" t="str">
        <f t="shared" si="9"/>
        <v>Dodat včetně uvedeného kování</v>
      </c>
      <c r="C185">
        <v>57</v>
      </c>
      <c r="O185" s="134" t="s">
        <v>228</v>
      </c>
      <c r="P185" s="72" t="s">
        <v>448</v>
      </c>
      <c r="Q185" s="72" t="s">
        <v>548</v>
      </c>
      <c r="R185" s="72" t="s">
        <v>591</v>
      </c>
      <c r="S185" s="111" t="s">
        <v>1812</v>
      </c>
    </row>
    <row r="186" spans="2:19">
      <c r="B186" s="254" t="str">
        <f t="shared" si="9"/>
        <v>Umístění pístů</v>
      </c>
      <c r="C186">
        <v>58</v>
      </c>
      <c r="O186" s="134" t="s">
        <v>240</v>
      </c>
      <c r="P186" s="72" t="s">
        <v>449</v>
      </c>
      <c r="Q186" s="72" t="s">
        <v>515</v>
      </c>
      <c r="R186" s="72" t="s">
        <v>592</v>
      </c>
      <c r="S186" s="111" t="s">
        <v>1813</v>
      </c>
    </row>
    <row r="187" spans="2:19">
      <c r="B187" s="254" t="str">
        <f t="shared" si="9"/>
        <v xml:space="preserve">Vpravo </v>
      </c>
      <c r="C187">
        <v>59</v>
      </c>
      <c r="O187" s="134" t="s">
        <v>242</v>
      </c>
      <c r="P187" s="72" t="s">
        <v>450</v>
      </c>
      <c r="Q187" s="72" t="s">
        <v>516</v>
      </c>
      <c r="R187" s="72" t="s">
        <v>593</v>
      </c>
      <c r="S187" s="111" t="s">
        <v>1814</v>
      </c>
    </row>
    <row r="188" spans="2:19">
      <c r="B188" s="254" t="str">
        <f t="shared" si="9"/>
        <v>Vlevo</v>
      </c>
      <c r="C188">
        <v>60</v>
      </c>
      <c r="O188" s="134" t="s">
        <v>241</v>
      </c>
      <c r="P188" s="72" t="s">
        <v>451</v>
      </c>
      <c r="Q188" s="72" t="s">
        <v>517</v>
      </c>
      <c r="R188" s="72" t="s">
        <v>594</v>
      </c>
      <c r="S188" s="111" t="s">
        <v>1815</v>
      </c>
    </row>
    <row r="189" spans="2:19">
      <c r="B189" s="254" t="str">
        <f t="shared" si="9"/>
        <v>2 Kusy (obě strany)</v>
      </c>
      <c r="C189">
        <v>61</v>
      </c>
      <c r="O189" s="134" t="s">
        <v>243</v>
      </c>
      <c r="P189" s="72" t="s">
        <v>452</v>
      </c>
      <c r="Q189" s="72" t="s">
        <v>518</v>
      </c>
      <c r="R189" s="72" t="s">
        <v>595</v>
      </c>
      <c r="S189" s="111" t="s">
        <v>1816</v>
      </c>
    </row>
    <row r="190" spans="2:19">
      <c r="B190" s="254" t="str">
        <f t="shared" si="9"/>
        <v>Provedení druhého dvířka</v>
      </c>
      <c r="C190">
        <v>62</v>
      </c>
      <c r="O190" s="134" t="s">
        <v>372</v>
      </c>
      <c r="P190" s="72" t="s">
        <v>453</v>
      </c>
      <c r="Q190" s="72" t="s">
        <v>547</v>
      </c>
      <c r="R190" s="72" t="s">
        <v>596</v>
      </c>
      <c r="S190" s="111" t="s">
        <v>1817</v>
      </c>
    </row>
    <row r="191" spans="2:19">
      <c r="B191" s="254" t="str">
        <f t="shared" si="9"/>
        <v>Úzký ALU rámeček</v>
      </c>
      <c r="C191">
        <v>63</v>
      </c>
      <c r="O191" s="134" t="s">
        <v>245</v>
      </c>
      <c r="P191" s="72" t="s">
        <v>454</v>
      </c>
      <c r="Q191" s="72" t="s">
        <v>519</v>
      </c>
      <c r="R191" s="72" t="s">
        <v>597</v>
      </c>
      <c r="S191" s="111" t="s">
        <v>1818</v>
      </c>
    </row>
    <row r="192" spans="2:19">
      <c r="B192" s="254" t="str">
        <f t="shared" si="9"/>
        <v>Široký ALU rámeček</v>
      </c>
      <c r="C192">
        <v>64</v>
      </c>
      <c r="O192" s="134" t="s">
        <v>246</v>
      </c>
      <c r="P192" s="72" t="s">
        <v>455</v>
      </c>
      <c r="Q192" s="72" t="s">
        <v>520</v>
      </c>
      <c r="R192" s="72" t="s">
        <v>598</v>
      </c>
      <c r="S192" s="111" t="s">
        <v>1819</v>
      </c>
    </row>
    <row r="193" spans="2:19">
      <c r="B193" s="254" t="str">
        <f t="shared" ref="B193:B256" si="10">IF($D$1=1,O:O,IF($D$1=2,P:P,IF($D$1=3,Q:Q,IF($D$1=4,R:R,IF($D$1=5,S:S)))))</f>
        <v>MDF tloušťky 16 mm</v>
      </c>
      <c r="C193">
        <v>65</v>
      </c>
      <c r="O193" s="134" t="s">
        <v>248</v>
      </c>
      <c r="P193" s="72" t="s">
        <v>456</v>
      </c>
      <c r="Q193" s="72" t="s">
        <v>521</v>
      </c>
      <c r="R193" s="72" t="s">
        <v>599</v>
      </c>
      <c r="S193" s="111" t="s">
        <v>1820</v>
      </c>
    </row>
    <row r="194" spans="2:19">
      <c r="B194" s="254" t="str">
        <f t="shared" si="10"/>
        <v>MDF tloušťky 18 mm</v>
      </c>
      <c r="C194">
        <v>66</v>
      </c>
      <c r="O194" s="134" t="s">
        <v>247</v>
      </c>
      <c r="P194" s="72" t="s">
        <v>457</v>
      </c>
      <c r="Q194" s="72" t="s">
        <v>522</v>
      </c>
      <c r="R194" s="72" t="s">
        <v>600</v>
      </c>
      <c r="S194" s="111" t="s">
        <v>1821</v>
      </c>
    </row>
    <row r="195" spans="2:19">
      <c r="B195" s="254" t="str">
        <f t="shared" si="10"/>
        <v>DTDL tloušťky 18 mm</v>
      </c>
      <c r="C195">
        <v>67</v>
      </c>
      <c r="O195" s="134" t="s">
        <v>249</v>
      </c>
      <c r="P195" s="72" t="s">
        <v>458</v>
      </c>
      <c r="Q195" s="72" t="s">
        <v>523</v>
      </c>
      <c r="R195" s="72" t="s">
        <v>601</v>
      </c>
      <c r="S195" s="111" t="s">
        <v>1822</v>
      </c>
    </row>
    <row r="196" spans="2:19">
      <c r="B196" s="254" t="str">
        <f t="shared" si="10"/>
        <v>Umístění závěsů</v>
      </c>
      <c r="C196">
        <v>68</v>
      </c>
      <c r="O196" s="134" t="s">
        <v>250</v>
      </c>
      <c r="P196" s="72" t="s">
        <v>459</v>
      </c>
      <c r="Q196" s="72" t="s">
        <v>524</v>
      </c>
      <c r="R196" s="72" t="s">
        <v>602</v>
      </c>
      <c r="S196" s="111" t="s">
        <v>1823</v>
      </c>
    </row>
    <row r="197" spans="2:19">
      <c r="B197" s="254" t="str">
        <f t="shared" si="10"/>
        <v>Nahoře</v>
      </c>
      <c r="C197">
        <v>69</v>
      </c>
      <c r="O197" s="134" t="s">
        <v>251</v>
      </c>
      <c r="P197" s="72" t="s">
        <v>460</v>
      </c>
      <c r="Q197" s="72" t="s">
        <v>525</v>
      </c>
      <c r="R197" s="72" t="s">
        <v>603</v>
      </c>
      <c r="S197" s="111" t="s">
        <v>1824</v>
      </c>
    </row>
    <row r="198" spans="2:19">
      <c r="B198" s="254" t="str">
        <f t="shared" si="10"/>
        <v>Dole</v>
      </c>
      <c r="C198">
        <v>70</v>
      </c>
      <c r="O198" s="134" t="s">
        <v>252</v>
      </c>
      <c r="P198" s="72" t="s">
        <v>252</v>
      </c>
      <c r="Q198" s="72" t="s">
        <v>526</v>
      </c>
      <c r="R198" s="72" t="s">
        <v>604</v>
      </c>
      <c r="S198" s="111" t="s">
        <v>1825</v>
      </c>
    </row>
    <row r="199" spans="2:19">
      <c r="B199" s="254" t="str">
        <f t="shared" si="10"/>
        <v>Vyberte ze seznamu</v>
      </c>
      <c r="C199">
        <v>71</v>
      </c>
      <c r="O199" s="134" t="s">
        <v>258</v>
      </c>
      <c r="P199" s="72" t="s">
        <v>461</v>
      </c>
      <c r="Q199" s="72" t="s">
        <v>527</v>
      </c>
      <c r="R199" s="72" t="s">
        <v>605</v>
      </c>
      <c r="S199" s="111" t="s">
        <v>1826</v>
      </c>
    </row>
    <row r="200" spans="2:19">
      <c r="B200" s="254" t="str">
        <f t="shared" si="10"/>
        <v>Vzdálenost závěsu od kraje</v>
      </c>
      <c r="C200">
        <v>72</v>
      </c>
      <c r="O200" s="134" t="s">
        <v>374</v>
      </c>
      <c r="P200" s="72" t="s">
        <v>462</v>
      </c>
      <c r="Q200" s="72" t="s">
        <v>528</v>
      </c>
      <c r="R200" s="72" t="s">
        <v>606</v>
      </c>
      <c r="S200" s="111" t="s">
        <v>1827</v>
      </c>
    </row>
    <row r="201" spans="2:19">
      <c r="B201" s="254" t="str">
        <f t="shared" si="10"/>
        <v>Vyplňte pouze pokud nebude vrtání symetricky na střed</v>
      </c>
      <c r="C201">
        <v>73</v>
      </c>
      <c r="O201" s="134" t="s">
        <v>375</v>
      </c>
      <c r="P201" s="72" t="s">
        <v>463</v>
      </c>
      <c r="Q201" s="72" t="s">
        <v>1671</v>
      </c>
      <c r="R201" s="72" t="s">
        <v>607</v>
      </c>
      <c r="S201" s="111" t="s">
        <v>1828</v>
      </c>
    </row>
    <row r="202" spans="2:19">
      <c r="B202" s="254" t="str">
        <f t="shared" si="10"/>
        <v>Objednávkový formulář ALU rámečků</v>
      </c>
      <c r="C202">
        <v>74</v>
      </c>
      <c r="O202" s="134" t="s">
        <v>376</v>
      </c>
      <c r="P202" s="72" t="s">
        <v>464</v>
      </c>
      <c r="Q202" s="72" t="s">
        <v>529</v>
      </c>
      <c r="R202" s="72" t="s">
        <v>673</v>
      </c>
      <c r="S202" s="111" t="s">
        <v>1829</v>
      </c>
    </row>
    <row r="203" spans="2:19">
      <c r="B203" s="254" t="str">
        <f t="shared" si="10"/>
        <v xml:space="preserve">Při vyplňování formuláře postupujte vždy shora dolů. Provedete li zpětně změnu, překontrolujte zda jsou následující položky správně. </v>
      </c>
      <c r="C203">
        <v>75</v>
      </c>
      <c r="O203" s="134" t="s">
        <v>413</v>
      </c>
      <c r="P203" s="72" t="s">
        <v>471</v>
      </c>
      <c r="Q203" s="72" t="s">
        <v>530</v>
      </c>
      <c r="R203" s="72" t="s">
        <v>608</v>
      </c>
      <c r="S203" s="111" t="s">
        <v>1830</v>
      </c>
    </row>
    <row r="204" spans="2:19" s="139" customFormat="1">
      <c r="B204" s="254" t="str">
        <f t="shared" si="10"/>
        <v>Ceny jsou platné od 1.02.2020/Verze 20.01</v>
      </c>
      <c r="C204">
        <v>76</v>
      </c>
      <c r="O204" s="232" t="s">
        <v>1693</v>
      </c>
      <c r="P204" s="233" t="s">
        <v>1690</v>
      </c>
      <c r="Q204" s="233" t="s">
        <v>1691</v>
      </c>
      <c r="R204" s="233" t="s">
        <v>1692</v>
      </c>
      <c r="S204" s="111" t="s">
        <v>1831</v>
      </c>
    </row>
    <row r="205" spans="2:19">
      <c r="B205" s="254" t="str">
        <f t="shared" si="10"/>
        <v>Cena celkem</v>
      </c>
      <c r="C205">
        <v>77</v>
      </c>
      <c r="O205" s="134" t="s">
        <v>29</v>
      </c>
      <c r="P205" s="72" t="s">
        <v>465</v>
      </c>
      <c r="Q205" s="72" t="s">
        <v>531</v>
      </c>
      <c r="R205" s="72" t="s">
        <v>609</v>
      </c>
      <c r="S205" s="111" t="s">
        <v>1832</v>
      </c>
    </row>
    <row r="206" spans="2:19">
      <c r="B206" s="254" t="str">
        <f t="shared" si="10"/>
        <v>Zákazník</v>
      </c>
      <c r="C206">
        <v>78</v>
      </c>
      <c r="O206" s="134" t="s">
        <v>379</v>
      </c>
      <c r="P206" s="72" t="s">
        <v>379</v>
      </c>
      <c r="Q206" s="72" t="s">
        <v>532</v>
      </c>
      <c r="R206" s="72" t="s">
        <v>610</v>
      </c>
      <c r="S206" s="111" t="s">
        <v>1833</v>
      </c>
    </row>
    <row r="207" spans="2:19">
      <c r="B207" s="254" t="str">
        <f t="shared" si="10"/>
        <v>Kontaktní tel.</v>
      </c>
      <c r="C207">
        <v>79</v>
      </c>
      <c r="O207" s="134" t="s">
        <v>381</v>
      </c>
      <c r="P207" s="72" t="s">
        <v>466</v>
      </c>
      <c r="Q207" s="72" t="s">
        <v>533</v>
      </c>
      <c r="R207" s="72" t="s">
        <v>611</v>
      </c>
      <c r="S207" s="111" t="s">
        <v>1834</v>
      </c>
    </row>
    <row r="208" spans="2:19">
      <c r="B208" s="254" t="str">
        <f t="shared" si="10"/>
        <v>Kontaktní e-mail</v>
      </c>
      <c r="C208">
        <v>80</v>
      </c>
      <c r="O208" s="134" t="s">
        <v>382</v>
      </c>
      <c r="P208" s="72" t="s">
        <v>467</v>
      </c>
      <c r="Q208" s="72" t="s">
        <v>534</v>
      </c>
      <c r="R208" s="72" t="s">
        <v>612</v>
      </c>
      <c r="S208" s="111" t="s">
        <v>1835</v>
      </c>
    </row>
    <row r="209" spans="2:19">
      <c r="B209" s="254" t="str">
        <f t="shared" si="10"/>
        <v>Adresa provozovny</v>
      </c>
      <c r="C209">
        <v>81</v>
      </c>
      <c r="O209" s="134" t="s">
        <v>380</v>
      </c>
      <c r="P209" s="72" t="s">
        <v>468</v>
      </c>
      <c r="Q209" s="72" t="s">
        <v>535</v>
      </c>
      <c r="R209" s="72" t="s">
        <v>613</v>
      </c>
      <c r="S209" s="111" t="s">
        <v>1836</v>
      </c>
    </row>
    <row r="210" spans="2:19">
      <c r="B210" s="254" t="str">
        <f t="shared" si="10"/>
        <v>IČ:</v>
      </c>
      <c r="C210">
        <v>82</v>
      </c>
      <c r="O210" s="134" t="s">
        <v>378</v>
      </c>
      <c r="P210" s="72" t="s">
        <v>378</v>
      </c>
      <c r="Q210" s="72" t="s">
        <v>536</v>
      </c>
      <c r="R210" s="72" t="s">
        <v>378</v>
      </c>
      <c r="S210" s="111" t="s">
        <v>1837</v>
      </c>
    </row>
    <row r="211" spans="2:19">
      <c r="B211" s="254" t="str">
        <f t="shared" si="10"/>
        <v>Sleva na rámečky</v>
      </c>
      <c r="C211">
        <v>83</v>
      </c>
      <c r="O211" s="134" t="s">
        <v>383</v>
      </c>
      <c r="P211" s="72" t="s">
        <v>469</v>
      </c>
      <c r="Q211" s="72" t="s">
        <v>537</v>
      </c>
      <c r="R211" s="72" t="s">
        <v>614</v>
      </c>
      <c r="S211" s="111" t="s">
        <v>1838</v>
      </c>
    </row>
    <row r="212" spans="2:19">
      <c r="B212" s="254" t="str">
        <f t="shared" si="10"/>
        <v>Sleva na kování</v>
      </c>
      <c r="C212">
        <v>84</v>
      </c>
      <c r="O212" s="134" t="s">
        <v>384</v>
      </c>
      <c r="P212" s="72" t="s">
        <v>470</v>
      </c>
      <c r="Q212" s="72" t="s">
        <v>538</v>
      </c>
      <c r="R212" s="72" t="s">
        <v>615</v>
      </c>
      <c r="S212" s="111" t="s">
        <v>1839</v>
      </c>
    </row>
    <row r="213" spans="2:19">
      <c r="B213" s="254" t="str">
        <f t="shared" si="10"/>
        <v>Číslo objednávky</v>
      </c>
      <c r="C213">
        <v>85</v>
      </c>
      <c r="O213" s="134" t="s">
        <v>404</v>
      </c>
      <c r="P213" s="72" t="s">
        <v>404</v>
      </c>
      <c r="Q213" s="72" t="s">
        <v>25</v>
      </c>
      <c r="R213" s="72" t="s">
        <v>616</v>
      </c>
      <c r="S213" s="111" t="s">
        <v>1840</v>
      </c>
    </row>
    <row r="214" spans="2:19">
      <c r="B214" s="254" t="str">
        <f t="shared" si="10"/>
        <v>Barevné náhledy u jednotlivých názvů RAL a REF jsou pouze orientační!!!!</v>
      </c>
      <c r="C214">
        <v>86</v>
      </c>
      <c r="O214" s="134" t="s">
        <v>403</v>
      </c>
      <c r="P214" s="72" t="s">
        <v>473</v>
      </c>
      <c r="Q214" s="72" t="s">
        <v>1672</v>
      </c>
      <c r="R214" s="72" t="s">
        <v>1381</v>
      </c>
      <c r="S214" s="111" t="s">
        <v>1841</v>
      </c>
    </row>
    <row r="215" spans="2:19">
      <c r="B215" s="254" t="str">
        <f t="shared" si="10"/>
        <v>Typ kování</v>
      </c>
      <c r="C215">
        <v>87</v>
      </c>
      <c r="O215" s="134" t="s">
        <v>95</v>
      </c>
      <c r="P215" s="72" t="s">
        <v>472</v>
      </c>
      <c r="Q215" s="72" t="s">
        <v>546</v>
      </c>
      <c r="R215" s="72" t="s">
        <v>1668</v>
      </c>
      <c r="S215" s="111" t="s">
        <v>1842</v>
      </c>
    </row>
    <row r="216" spans="2:19">
      <c r="B216" s="254" t="str">
        <f t="shared" si="10"/>
        <v>AVENTOS HF</v>
      </c>
      <c r="C216">
        <v>88</v>
      </c>
      <c r="O216" s="134" t="s">
        <v>103</v>
      </c>
      <c r="P216" s="134" t="s">
        <v>103</v>
      </c>
      <c r="Q216" s="134" t="s">
        <v>103</v>
      </c>
      <c r="R216" s="134" t="s">
        <v>103</v>
      </c>
      <c r="S216" s="111" t="s">
        <v>103</v>
      </c>
    </row>
    <row r="217" spans="2:19">
      <c r="B217" s="254" t="str">
        <f t="shared" si="10"/>
        <v>AVENTOS HK TOP</v>
      </c>
      <c r="C217">
        <v>89</v>
      </c>
      <c r="O217" s="135" t="s">
        <v>1687</v>
      </c>
      <c r="P217" s="135" t="s">
        <v>1687</v>
      </c>
      <c r="Q217" s="135" t="s">
        <v>1687</v>
      </c>
      <c r="R217" s="135" t="s">
        <v>1687</v>
      </c>
      <c r="S217" s="111" t="s">
        <v>1687</v>
      </c>
    </row>
    <row r="218" spans="2:19">
      <c r="B218" s="254" t="str">
        <f t="shared" si="10"/>
        <v>AVENTOS HKS</v>
      </c>
      <c r="C218">
        <v>90</v>
      </c>
      <c r="O218" s="135" t="s">
        <v>104</v>
      </c>
      <c r="P218" s="135" t="s">
        <v>104</v>
      </c>
      <c r="Q218" s="135" t="s">
        <v>104</v>
      </c>
      <c r="R218" s="135" t="s">
        <v>104</v>
      </c>
      <c r="S218" s="111" t="s">
        <v>104</v>
      </c>
    </row>
    <row r="219" spans="2:19">
      <c r="B219" s="254" t="str">
        <f t="shared" si="10"/>
        <v>AVENTOS HL</v>
      </c>
      <c r="C219">
        <v>91</v>
      </c>
      <c r="O219" s="135" t="s">
        <v>105</v>
      </c>
      <c r="P219" s="135" t="s">
        <v>105</v>
      </c>
      <c r="Q219" s="135" t="s">
        <v>105</v>
      </c>
      <c r="R219" s="135" t="s">
        <v>105</v>
      </c>
      <c r="S219" s="111" t="s">
        <v>105</v>
      </c>
    </row>
    <row r="220" spans="2:19">
      <c r="B220" s="254" t="str">
        <f t="shared" si="10"/>
        <v>AVENTOS HS</v>
      </c>
      <c r="C220">
        <v>92</v>
      </c>
      <c r="O220" s="135" t="s">
        <v>106</v>
      </c>
      <c r="P220" s="135" t="s">
        <v>106</v>
      </c>
      <c r="Q220" s="135" t="s">
        <v>106</v>
      </c>
      <c r="R220" s="135" t="s">
        <v>106</v>
      </c>
      <c r="S220" s="111" t="s">
        <v>106</v>
      </c>
    </row>
    <row r="221" spans="2:19">
      <c r="B221" s="254" t="str">
        <f t="shared" si="10"/>
        <v>AVENTOS HK-XS</v>
      </c>
      <c r="C221">
        <v>93</v>
      </c>
      <c r="O221" s="135" t="s">
        <v>1027</v>
      </c>
      <c r="P221" s="135" t="s">
        <v>1027</v>
      </c>
      <c r="Q221" s="135" t="s">
        <v>1027</v>
      </c>
      <c r="R221" s="135" t="s">
        <v>1027</v>
      </c>
      <c r="S221" s="111" t="s">
        <v>1027</v>
      </c>
    </row>
    <row r="222" spans="2:19">
      <c r="B222" s="254" t="str">
        <f t="shared" si="10"/>
        <v>AVENTOS HK-XS TIP-ON</v>
      </c>
      <c r="C222">
        <v>94</v>
      </c>
      <c r="O222" s="135" t="s">
        <v>1056</v>
      </c>
      <c r="P222" s="135" t="s">
        <v>1056</v>
      </c>
      <c r="Q222" s="135" t="s">
        <v>1056</v>
      </c>
      <c r="R222" s="135" t="s">
        <v>1056</v>
      </c>
      <c r="S222" s="111" t="s">
        <v>1056</v>
      </c>
    </row>
    <row r="223" spans="2:19">
      <c r="B223" s="254" t="str">
        <f t="shared" si="10"/>
        <v>FGV</v>
      </c>
      <c r="C223">
        <v>95</v>
      </c>
      <c r="O223" s="135" t="s">
        <v>13</v>
      </c>
      <c r="P223" s="135" t="s">
        <v>13</v>
      </c>
      <c r="Q223" s="135" t="s">
        <v>13</v>
      </c>
      <c r="R223" s="135" t="s">
        <v>13</v>
      </c>
      <c r="S223" s="111" t="s">
        <v>13</v>
      </c>
    </row>
    <row r="224" spans="2:19">
      <c r="B224" s="254" t="str">
        <f t="shared" si="10"/>
        <v>BLUM</v>
      </c>
      <c r="C224">
        <v>96</v>
      </c>
      <c r="O224" s="135" t="s">
        <v>14</v>
      </c>
      <c r="P224" s="135" t="s">
        <v>14</v>
      </c>
      <c r="Q224" s="135" t="s">
        <v>14</v>
      </c>
      <c r="R224" s="135" t="s">
        <v>14</v>
      </c>
      <c r="S224" s="111" t="s">
        <v>14</v>
      </c>
    </row>
    <row r="225" spans="2:19">
      <c r="B225" s="254" t="str">
        <f t="shared" si="10"/>
        <v>STRONG bez tlumení</v>
      </c>
      <c r="C225">
        <v>97</v>
      </c>
      <c r="O225" s="135" t="s">
        <v>1166</v>
      </c>
      <c r="P225" s="135" t="s">
        <v>1572</v>
      </c>
      <c r="Q225" s="135" t="s">
        <v>1573</v>
      </c>
      <c r="R225" s="135" t="s">
        <v>1574</v>
      </c>
      <c r="S225" s="111" t="s">
        <v>1843</v>
      </c>
    </row>
    <row r="226" spans="2:19">
      <c r="B226" s="254" t="str">
        <f t="shared" si="10"/>
        <v>HETTICH</v>
      </c>
      <c r="C226">
        <v>98</v>
      </c>
      <c r="O226" s="135" t="s">
        <v>1026</v>
      </c>
      <c r="P226" s="135" t="s">
        <v>1026</v>
      </c>
      <c r="Q226" s="135" t="s">
        <v>1026</v>
      </c>
      <c r="R226" s="135" t="s">
        <v>1026</v>
      </c>
      <c r="S226" s="111" t="s">
        <v>1026</v>
      </c>
    </row>
    <row r="227" spans="2:19">
      <c r="B227" s="254" t="str">
        <f t="shared" si="10"/>
        <v xml:space="preserve">Vyplňte pouze pokud nebude vrtání symetricky na střed </v>
      </c>
      <c r="C227">
        <v>99</v>
      </c>
      <c r="O227" s="134" t="s">
        <v>545</v>
      </c>
      <c r="P227" s="135" t="s">
        <v>636</v>
      </c>
      <c r="Q227" s="72" t="s">
        <v>641</v>
      </c>
      <c r="R227" s="72" t="s">
        <v>648</v>
      </c>
      <c r="S227" s="111" t="s">
        <v>1828</v>
      </c>
    </row>
    <row r="228" spans="2:19">
      <c r="B228" s="254" t="str">
        <f t="shared" si="10"/>
        <v>Posuvné rámečky</v>
      </c>
      <c r="C228">
        <v>100</v>
      </c>
      <c r="O228" s="134" t="s">
        <v>20</v>
      </c>
      <c r="P228" s="135" t="s">
        <v>637</v>
      </c>
      <c r="Q228" s="72" t="s">
        <v>642</v>
      </c>
      <c r="R228" s="72" t="s">
        <v>649</v>
      </c>
      <c r="S228" s="111" t="s">
        <v>1844</v>
      </c>
    </row>
    <row r="229" spans="2:19">
      <c r="B229" s="254" t="str">
        <f t="shared" si="10"/>
        <v>Standardně je objednávka dodána včetně kování a vodících profilů</v>
      </c>
      <c r="C229">
        <v>101</v>
      </c>
      <c r="O229" s="134" t="s">
        <v>407</v>
      </c>
      <c r="P229" s="72" t="s">
        <v>630</v>
      </c>
      <c r="Q229" s="72" t="s">
        <v>674</v>
      </c>
      <c r="R229" s="134" t="s">
        <v>650</v>
      </c>
      <c r="S229" s="111" t="s">
        <v>1845</v>
      </c>
    </row>
    <row r="230" spans="2:19">
      <c r="B230" s="254" t="str">
        <f t="shared" si="10"/>
        <v xml:space="preserve">Vnitřní rozměr skříňky (mm)  </v>
      </c>
      <c r="C230">
        <v>102</v>
      </c>
      <c r="O230" s="134" t="s">
        <v>633</v>
      </c>
      <c r="P230" s="72" t="s">
        <v>631</v>
      </c>
      <c r="Q230" s="72" t="s">
        <v>643</v>
      </c>
      <c r="R230" s="72" t="s">
        <v>651</v>
      </c>
      <c r="S230" s="111" t="s">
        <v>1846</v>
      </c>
    </row>
    <row r="231" spans="2:19">
      <c r="B231" s="254" t="str">
        <f t="shared" si="10"/>
        <v>Počet dvířek</v>
      </c>
      <c r="C231">
        <v>103</v>
      </c>
      <c r="O231" s="134" t="s">
        <v>406</v>
      </c>
      <c r="P231" s="72" t="s">
        <v>632</v>
      </c>
      <c r="Q231" s="72" t="s">
        <v>644</v>
      </c>
      <c r="R231" s="134" t="s">
        <v>652</v>
      </c>
      <c r="S231" s="111" t="s">
        <v>1847</v>
      </c>
    </row>
    <row r="232" spans="2:19">
      <c r="B232" s="254" t="str">
        <f t="shared" si="10"/>
        <v>Zde jsou uvedeny standardní přesahy dvířek</v>
      </c>
      <c r="C232">
        <v>104</v>
      </c>
      <c r="O232" s="134" t="s">
        <v>844</v>
      </c>
      <c r="P232" s="137" t="s">
        <v>634</v>
      </c>
      <c r="Q232" s="72" t="s">
        <v>845</v>
      </c>
      <c r="R232" s="134" t="s">
        <v>846</v>
      </c>
      <c r="S232" s="111" t="s">
        <v>1848</v>
      </c>
    </row>
    <row r="233" spans="2:19">
      <c r="B233" s="254" t="str">
        <f t="shared" si="10"/>
        <v>barva</v>
      </c>
      <c r="C233">
        <v>105</v>
      </c>
      <c r="O233" s="134" t="s">
        <v>385</v>
      </c>
      <c r="P233" s="72" t="s">
        <v>635</v>
      </c>
      <c r="Q233" s="72" t="s">
        <v>645</v>
      </c>
      <c r="R233" s="134" t="s">
        <v>653</v>
      </c>
      <c r="S233" s="111" t="s">
        <v>1849</v>
      </c>
    </row>
    <row r="234" spans="2:19">
      <c r="B234" s="254" t="str">
        <f t="shared" si="10"/>
        <v>Objednávka ALU</v>
      </c>
      <c r="C234">
        <v>106</v>
      </c>
      <c r="O234" s="134" t="s">
        <v>628</v>
      </c>
      <c r="P234" s="72" t="s">
        <v>628</v>
      </c>
      <c r="Q234" s="72" t="s">
        <v>646</v>
      </c>
      <c r="R234" s="134" t="s">
        <v>654</v>
      </c>
      <c r="S234" s="111" t="s">
        <v>1850</v>
      </c>
    </row>
    <row r="235" spans="2:19">
      <c r="B235" s="254" t="str">
        <f t="shared" si="10"/>
        <v>Posuvné rámečky</v>
      </c>
      <c r="C235">
        <v>107</v>
      </c>
      <c r="O235" s="134" t="s">
        <v>20</v>
      </c>
      <c r="P235" s="135" t="s">
        <v>637</v>
      </c>
      <c r="Q235" s="72" t="s">
        <v>642</v>
      </c>
      <c r="R235" s="72" t="s">
        <v>649</v>
      </c>
      <c r="S235" s="111" t="s">
        <v>1844</v>
      </c>
    </row>
    <row r="236" spans="2:19">
      <c r="B236" s="254" t="str">
        <f t="shared" si="10"/>
        <v>Barvy LACOBEL A MATELAC</v>
      </c>
      <c r="C236">
        <v>108</v>
      </c>
      <c r="O236" s="134" t="s">
        <v>629</v>
      </c>
      <c r="P236" s="72" t="s">
        <v>638</v>
      </c>
      <c r="Q236" s="72" t="s">
        <v>647</v>
      </c>
      <c r="R236" s="134" t="s">
        <v>655</v>
      </c>
      <c r="S236" s="111" t="s">
        <v>1851</v>
      </c>
    </row>
    <row r="237" spans="2:19">
      <c r="B237" s="254" t="str">
        <f t="shared" si="10"/>
        <v>20L3200</v>
      </c>
      <c r="C237">
        <v>109</v>
      </c>
      <c r="O237" s="119" t="s">
        <v>657</v>
      </c>
      <c r="P237" s="119" t="s">
        <v>657</v>
      </c>
      <c r="Q237" s="119" t="s">
        <v>657</v>
      </c>
      <c r="R237" s="119" t="s">
        <v>657</v>
      </c>
      <c r="S237" s="111" t="s">
        <v>657</v>
      </c>
    </row>
    <row r="238" spans="2:19">
      <c r="B238" s="254" t="str">
        <f t="shared" si="10"/>
        <v>20L3500</v>
      </c>
      <c r="C238">
        <v>110</v>
      </c>
      <c r="O238" s="119" t="s">
        <v>658</v>
      </c>
      <c r="P238" s="119" t="s">
        <v>658</v>
      </c>
      <c r="Q238" s="119" t="s">
        <v>658</v>
      </c>
      <c r="R238" s="119" t="s">
        <v>658</v>
      </c>
      <c r="S238" s="111" t="s">
        <v>658</v>
      </c>
    </row>
    <row r="239" spans="2:19">
      <c r="B239" s="254" t="str">
        <f t="shared" si="10"/>
        <v>20L3800</v>
      </c>
      <c r="C239">
        <v>111</v>
      </c>
      <c r="O239" s="119" t="s">
        <v>659</v>
      </c>
      <c r="P239" s="119" t="s">
        <v>659</v>
      </c>
      <c r="Q239" s="119" t="s">
        <v>659</v>
      </c>
      <c r="R239" s="119" t="s">
        <v>659</v>
      </c>
      <c r="S239" s="111" t="s">
        <v>659</v>
      </c>
    </row>
    <row r="240" spans="2:19">
      <c r="B240" s="254" t="str">
        <f t="shared" si="10"/>
        <v>20L3900</v>
      </c>
      <c r="C240">
        <v>112</v>
      </c>
      <c r="O240" s="119" t="s">
        <v>660</v>
      </c>
      <c r="P240" s="119" t="s">
        <v>660</v>
      </c>
      <c r="Q240" s="119" t="s">
        <v>660</v>
      </c>
      <c r="R240" s="119" t="s">
        <v>660</v>
      </c>
      <c r="S240" s="111" t="s">
        <v>660</v>
      </c>
    </row>
    <row r="241" spans="2:19">
      <c r="B241" s="254" t="str">
        <f t="shared" si="10"/>
        <v>Typ ramene</v>
      </c>
      <c r="C241">
        <v>113</v>
      </c>
      <c r="O241" s="119" t="s">
        <v>661</v>
      </c>
      <c r="P241" s="119" t="s">
        <v>664</v>
      </c>
      <c r="Q241" s="119" t="s">
        <v>665</v>
      </c>
      <c r="R241" s="119" t="s">
        <v>666</v>
      </c>
      <c r="S241" s="111" t="s">
        <v>1852</v>
      </c>
    </row>
    <row r="242" spans="2:19">
      <c r="B242" s="254" t="str">
        <f t="shared" si="10"/>
        <v>Hmotnost úchytky (g)</v>
      </c>
      <c r="C242">
        <v>114</v>
      </c>
      <c r="O242" s="119" t="s">
        <v>662</v>
      </c>
      <c r="P242" s="119" t="s">
        <v>667</v>
      </c>
      <c r="Q242" s="119" t="s">
        <v>668</v>
      </c>
      <c r="R242" s="119" t="s">
        <v>669</v>
      </c>
      <c r="S242" s="111" t="s">
        <v>1853</v>
      </c>
    </row>
    <row r="243" spans="2:19">
      <c r="B243" s="254" t="str">
        <f t="shared" si="10"/>
        <v>Typy profilů</v>
      </c>
      <c r="C243">
        <v>115</v>
      </c>
      <c r="O243" s="119" t="s">
        <v>663</v>
      </c>
      <c r="P243" s="72" t="s">
        <v>670</v>
      </c>
      <c r="Q243" s="72" t="s">
        <v>671</v>
      </c>
      <c r="R243" s="72" t="s">
        <v>672</v>
      </c>
      <c r="S243" s="111" t="s">
        <v>1854</v>
      </c>
    </row>
    <row r="244" spans="2:19">
      <c r="B244" s="254" t="str">
        <f t="shared" si="10"/>
        <v>AVENTOS HF Servo Drive</v>
      </c>
      <c r="C244">
        <v>116</v>
      </c>
      <c r="O244" s="134" t="s">
        <v>742</v>
      </c>
      <c r="P244" s="134" t="s">
        <v>742</v>
      </c>
      <c r="Q244" s="134" t="s">
        <v>742</v>
      </c>
      <c r="R244" s="134" t="s">
        <v>742</v>
      </c>
      <c r="S244" s="111" t="s">
        <v>742</v>
      </c>
    </row>
    <row r="245" spans="2:19">
      <c r="B245" s="254" t="str">
        <f t="shared" si="10"/>
        <v>AVENTOS HK TOP TIP ON</v>
      </c>
      <c r="C245">
        <v>117</v>
      </c>
      <c r="O245" s="134" t="s">
        <v>1689</v>
      </c>
      <c r="P245" s="134" t="s">
        <v>1689</v>
      </c>
      <c r="Q245" s="134" t="s">
        <v>1689</v>
      </c>
      <c r="R245" s="134" t="s">
        <v>1689</v>
      </c>
      <c r="S245" s="111" t="s">
        <v>1689</v>
      </c>
    </row>
    <row r="246" spans="2:19">
      <c r="B246" s="254" t="str">
        <f t="shared" si="10"/>
        <v>AVENTOS HKS TIP ON</v>
      </c>
      <c r="C246">
        <v>118</v>
      </c>
      <c r="O246" s="134" t="s">
        <v>743</v>
      </c>
      <c r="P246" s="134" t="s">
        <v>743</v>
      </c>
      <c r="Q246" s="134" t="s">
        <v>743</v>
      </c>
      <c r="R246" s="134" t="s">
        <v>743</v>
      </c>
      <c r="S246" s="111" t="s">
        <v>743</v>
      </c>
    </row>
    <row r="247" spans="2:19">
      <c r="B247" s="254" t="str">
        <f t="shared" si="10"/>
        <v>AVENTOS HK TOP Servo Drive</v>
      </c>
      <c r="C247">
        <v>119</v>
      </c>
      <c r="O247" s="134" t="s">
        <v>1688</v>
      </c>
      <c r="P247" s="134" t="s">
        <v>1688</v>
      </c>
      <c r="Q247" s="134" t="s">
        <v>1688</v>
      </c>
      <c r="R247" s="134" t="s">
        <v>1688</v>
      </c>
      <c r="S247" s="111" t="s">
        <v>1688</v>
      </c>
    </row>
    <row r="248" spans="2:19">
      <c r="B248" s="254" t="str">
        <f t="shared" si="10"/>
        <v>AVENTOS HL Servo Drive</v>
      </c>
      <c r="C248">
        <v>120</v>
      </c>
      <c r="O248" s="134" t="s">
        <v>744</v>
      </c>
      <c r="P248" s="134" t="s">
        <v>744</v>
      </c>
      <c r="Q248" s="134" t="s">
        <v>744</v>
      </c>
      <c r="R248" s="134" t="s">
        <v>744</v>
      </c>
      <c r="S248" s="111" t="s">
        <v>744</v>
      </c>
    </row>
    <row r="249" spans="2:19">
      <c r="B249" s="254" t="str">
        <f t="shared" si="10"/>
        <v>AVENTOS HS Servo Drive</v>
      </c>
      <c r="C249">
        <v>121</v>
      </c>
      <c r="O249" s="134" t="s">
        <v>745</v>
      </c>
      <c r="P249" s="134" t="s">
        <v>745</v>
      </c>
      <c r="Q249" s="134" t="s">
        <v>745</v>
      </c>
      <c r="R249" s="134" t="s">
        <v>745</v>
      </c>
      <c r="S249" s="111" t="s">
        <v>745</v>
      </c>
    </row>
    <row r="250" spans="2:19">
      <c r="B250" s="254" t="str">
        <f t="shared" si="10"/>
        <v>spodní</v>
      </c>
      <c r="C250">
        <v>122</v>
      </c>
      <c r="O250" s="134" t="s">
        <v>799</v>
      </c>
      <c r="P250" s="72" t="s">
        <v>800</v>
      </c>
      <c r="Q250" s="72" t="s">
        <v>801</v>
      </c>
      <c r="R250" s="72" t="s">
        <v>802</v>
      </c>
      <c r="S250" s="111" t="s">
        <v>1855</v>
      </c>
    </row>
    <row r="251" spans="2:19">
      <c r="B251" s="254" t="str">
        <f t="shared" si="10"/>
        <v>Minimální vzdálenost umístění závěsů</v>
      </c>
      <c r="C251">
        <v>123</v>
      </c>
      <c r="O251" s="119" t="s">
        <v>804</v>
      </c>
      <c r="P251" s="72" t="s">
        <v>857</v>
      </c>
      <c r="Q251" s="72" t="s">
        <v>872</v>
      </c>
      <c r="R251" s="72" t="s">
        <v>873</v>
      </c>
      <c r="S251" s="111" t="s">
        <v>1856</v>
      </c>
    </row>
    <row r="252" spans="2:19">
      <c r="B252" s="254" t="str">
        <f t="shared" si="10"/>
        <v>Naložený s integr. Blumotionem</v>
      </c>
      <c r="C252">
        <v>124</v>
      </c>
      <c r="O252" s="134" t="s">
        <v>806</v>
      </c>
      <c r="P252" s="72" t="s">
        <v>858</v>
      </c>
      <c r="Q252" s="72" t="s">
        <v>874</v>
      </c>
      <c r="R252" s="72" t="s">
        <v>875</v>
      </c>
      <c r="S252" s="111" t="s">
        <v>1857</v>
      </c>
    </row>
    <row r="253" spans="2:19">
      <c r="B253" s="254" t="str">
        <f t="shared" si="10"/>
        <v>Standardní vrtání otvorů pro závěsy u všech typů kování Aventos HF, je 100 mm od kraje.</v>
      </c>
      <c r="C253">
        <v>125</v>
      </c>
      <c r="O253" s="13" t="s">
        <v>850</v>
      </c>
      <c r="P253" t="s">
        <v>859</v>
      </c>
      <c r="Q253" t="s">
        <v>1673</v>
      </c>
      <c r="R253" t="s">
        <v>876</v>
      </c>
      <c r="S253" s="111" t="s">
        <v>1858</v>
      </c>
    </row>
    <row r="254" spans="2:19">
      <c r="B254" s="254" t="str">
        <f t="shared" si="10"/>
        <v>Standardní průměr otvorů pro úchytky je ve skle 7 mm a v rámečku 5 mm (distanční podložky jsou součástí balení).</v>
      </c>
      <c r="C254">
        <v>126</v>
      </c>
      <c r="O254" s="12" t="s">
        <v>810</v>
      </c>
      <c r="P254" t="s">
        <v>860</v>
      </c>
      <c r="Q254" t="s">
        <v>877</v>
      </c>
      <c r="R254" t="s">
        <v>878</v>
      </c>
      <c r="S254" s="111" t="s">
        <v>1859</v>
      </c>
    </row>
    <row r="255" spans="2:19">
      <c r="B255" s="254" t="str">
        <f t="shared" si="10"/>
        <v xml:space="preserve">Pokud je váš požadavek jiný než je uvedeno výše, uveďte ho do poznámky. </v>
      </c>
      <c r="C255">
        <v>127</v>
      </c>
      <c r="O255" s="12" t="s">
        <v>811</v>
      </c>
      <c r="P255" t="s">
        <v>861</v>
      </c>
      <c r="Q255" t="s">
        <v>879</v>
      </c>
      <c r="R255" t="s">
        <v>880</v>
      </c>
      <c r="S255" s="111" t="s">
        <v>1860</v>
      </c>
    </row>
    <row r="256" spans="2:19">
      <c r="B256" s="254" t="str">
        <f t="shared" si="10"/>
        <v>U určitých typů úchytek jsou závity pro šrouby zapuštěné a je nutné použít vhodné distanční podložky.</v>
      </c>
      <c r="C256">
        <v>128</v>
      </c>
      <c r="O256" s="12" t="s">
        <v>815</v>
      </c>
      <c r="P256" t="s">
        <v>862</v>
      </c>
      <c r="Q256" t="s">
        <v>1674</v>
      </c>
      <c r="R256" t="s">
        <v>1667</v>
      </c>
      <c r="S256" s="111" t="s">
        <v>1861</v>
      </c>
    </row>
    <row r="257" spans="2:19">
      <c r="B257" s="254" t="str">
        <f t="shared" ref="B257:B320" si="11">IF($D$1=1,O:O,IF($D$1=2,P:P,IF($D$1=3,Q:Q,IF($D$1=4,R:R,IF($D$1=5,S:S)))))</f>
        <v>Reklamace spojené s poškozením nelze uplatnit, pokud byl rámeček již namontován.</v>
      </c>
      <c r="C257">
        <v>129</v>
      </c>
      <c r="O257" s="12" t="s">
        <v>812</v>
      </c>
      <c r="P257" t="s">
        <v>863</v>
      </c>
      <c r="Q257" t="s">
        <v>881</v>
      </c>
      <c r="R257" t="s">
        <v>882</v>
      </c>
      <c r="S257" s="111" t="s">
        <v>1862</v>
      </c>
    </row>
    <row r="258" spans="2:19">
      <c r="B258" s="254" t="str">
        <f t="shared" si="11"/>
        <v xml:space="preserve">Pro připevnění kování do ALU rámečku, je nutné používat vruty pro toto určené (např. kód 13681). </v>
      </c>
      <c r="C258">
        <v>130</v>
      </c>
      <c r="O258" s="12" t="s">
        <v>813</v>
      </c>
      <c r="P258" t="s">
        <v>864</v>
      </c>
      <c r="Q258" t="s">
        <v>1675</v>
      </c>
      <c r="R258" t="s">
        <v>883</v>
      </c>
      <c r="S258" s="111" t="s">
        <v>1863</v>
      </c>
    </row>
    <row r="259" spans="2:19">
      <c r="B259" s="254" t="str">
        <f t="shared" si="11"/>
        <v>Vždy používejte aktuální verzi formuláře, který je dostupný na našich stánkách.</v>
      </c>
      <c r="C259">
        <v>131</v>
      </c>
      <c r="O259" s="12" t="s">
        <v>820</v>
      </c>
      <c r="P259" t="s">
        <v>865</v>
      </c>
      <c r="Q259" t="s">
        <v>884</v>
      </c>
      <c r="R259" t="s">
        <v>885</v>
      </c>
      <c r="S259" s="111" t="s">
        <v>1864</v>
      </c>
    </row>
    <row r="260" spans="2:19">
      <c r="B260" s="254">
        <f t="shared" si="11"/>
        <v>0</v>
      </c>
      <c r="C260">
        <v>132</v>
      </c>
      <c r="S260" s="111"/>
    </row>
    <row r="261" spans="2:19">
      <c r="B261" s="25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2" t="s">
        <v>814</v>
      </c>
      <c r="P261" t="s">
        <v>886</v>
      </c>
      <c r="Q261" t="s">
        <v>1676</v>
      </c>
      <c r="R261" t="s">
        <v>887</v>
      </c>
      <c r="S261" s="111" t="s">
        <v>1865</v>
      </c>
    </row>
    <row r="262" spans="2:19">
      <c r="B262" s="254" t="str">
        <f t="shared" si="11"/>
        <v>Formulář obsahuje několik listů, mezi kterými je možné se přepínat ve spodní části.</v>
      </c>
      <c r="C262">
        <v>134</v>
      </c>
      <c r="O262" s="12" t="s">
        <v>816</v>
      </c>
      <c r="P262" t="s">
        <v>888</v>
      </c>
      <c r="Q262" t="s">
        <v>889</v>
      </c>
      <c r="R262" t="s">
        <v>890</v>
      </c>
      <c r="S262" s="111" t="s">
        <v>1866</v>
      </c>
    </row>
    <row r="263" spans="2:19">
      <c r="B263" s="254" t="str">
        <f t="shared" si="11"/>
        <v xml:space="preserve">Vyplňte prosím vaše kontaktní údaje a poté klikněte na požadované políčko níže. </v>
      </c>
      <c r="C263">
        <v>135</v>
      </c>
      <c r="O263" s="12" t="s">
        <v>962</v>
      </c>
      <c r="P263" t="s">
        <v>891</v>
      </c>
      <c r="Q263" t="s">
        <v>892</v>
      </c>
      <c r="R263" t="s">
        <v>893</v>
      </c>
      <c r="S263" s="111" t="s">
        <v>1867</v>
      </c>
    </row>
    <row r="264" spans="2:19">
      <c r="B264" s="254" t="str">
        <f t="shared" si="11"/>
        <v>Vyplněním kontaktních údajů vyjadřujete současně souhlas, že jste se seznámil s informacemi uvedenými níže!</v>
      </c>
      <c r="C264">
        <v>136</v>
      </c>
      <c r="O264" s="12" t="s">
        <v>848</v>
      </c>
      <c r="P264" t="s">
        <v>894</v>
      </c>
      <c r="Q264" t="s">
        <v>895</v>
      </c>
      <c r="R264" t="s">
        <v>896</v>
      </c>
      <c r="S264" s="111" t="s">
        <v>1867</v>
      </c>
    </row>
    <row r="265" spans="2:19">
      <c r="B265" s="254" t="str">
        <f t="shared" si="11"/>
        <v>Běžné rámečky</v>
      </c>
      <c r="C265">
        <v>137</v>
      </c>
      <c r="O265" s="12" t="s">
        <v>817</v>
      </c>
      <c r="P265" t="s">
        <v>897</v>
      </c>
      <c r="Q265" t="s">
        <v>898</v>
      </c>
      <c r="R265" t="s">
        <v>899</v>
      </c>
      <c r="S265" s="111" t="s">
        <v>1868</v>
      </c>
    </row>
    <row r="266" spans="2:19">
      <c r="B266" s="254" t="str">
        <f t="shared" si="11"/>
        <v>Posuvné rámečky</v>
      </c>
      <c r="C266">
        <v>138</v>
      </c>
      <c r="O266" s="12" t="s">
        <v>20</v>
      </c>
      <c r="P266" t="s">
        <v>637</v>
      </c>
      <c r="Q266" t="s">
        <v>900</v>
      </c>
      <c r="R266" t="s">
        <v>901</v>
      </c>
      <c r="S266" s="111" t="s">
        <v>1844</v>
      </c>
    </row>
    <row r="267" spans="2:19">
      <c r="B267" s="254" t="str">
        <f t="shared" si="11"/>
        <v>Nákresy profilů a spoj. kování</v>
      </c>
      <c r="C267">
        <v>139</v>
      </c>
      <c r="O267" s="12" t="s">
        <v>818</v>
      </c>
      <c r="P267" t="s">
        <v>902</v>
      </c>
      <c r="Q267" t="s">
        <v>903</v>
      </c>
      <c r="R267" t="s">
        <v>904</v>
      </c>
      <c r="S267" s="111" t="s">
        <v>1869</v>
      </c>
    </row>
    <row r="268" spans="2:19">
      <c r="B268" s="254" t="str">
        <f t="shared" si="11"/>
        <v>Maximální doporučený rozměr rámečku je 2000 x 600 mm (v případě rámečků s nalepeným sklem 1800 x 600 mm)</v>
      </c>
      <c r="C268">
        <v>140</v>
      </c>
      <c r="O268" s="12" t="s">
        <v>821</v>
      </c>
      <c r="P268" t="s">
        <v>905</v>
      </c>
      <c r="Q268" t="s">
        <v>1677</v>
      </c>
      <c r="R268" t="s">
        <v>906</v>
      </c>
      <c r="S268" s="111" t="s">
        <v>1870</v>
      </c>
    </row>
    <row r="269" spans="2:19">
      <c r="B269" s="254" t="str">
        <f t="shared" si="11"/>
        <v xml:space="preserve">Na požadavek zákazníka, je možné dodat rámečky s maximální délkou profilu 3m. Maximální rozměr skla je v tomto případě 2500 x 1300 mm. </v>
      </c>
      <c r="C269">
        <v>141</v>
      </c>
      <c r="O269" s="12" t="s">
        <v>963</v>
      </c>
      <c r="P269" t="s">
        <v>907</v>
      </c>
      <c r="Q269" t="s">
        <v>908</v>
      </c>
      <c r="R269" t="s">
        <v>909</v>
      </c>
      <c r="S269" s="111" t="s">
        <v>1871</v>
      </c>
    </row>
    <row r="270" spans="2:19">
      <c r="B270" s="254" t="str">
        <f t="shared" si="11"/>
        <v>Všechny skla Lacobel a Matelac je možné podlepit bezpečnostní fólií (v případě potřeby uveďte do poznámky)</v>
      </c>
      <c r="C270">
        <v>142</v>
      </c>
      <c r="O270" s="12" t="s">
        <v>822</v>
      </c>
      <c r="P270" t="s">
        <v>910</v>
      </c>
      <c r="Q270" t="s">
        <v>1678</v>
      </c>
      <c r="R270" t="s">
        <v>911</v>
      </c>
      <c r="S270" s="111" t="s">
        <v>1872</v>
      </c>
    </row>
    <row r="271" spans="2:19">
      <c r="B271" s="254" t="str">
        <f t="shared" si="11"/>
        <v xml:space="preserve">Vyplněnou objednávku zašlete na adresu </v>
      </c>
      <c r="C271">
        <v>143</v>
      </c>
      <c r="O271" s="12" t="s">
        <v>823</v>
      </c>
      <c r="P271" t="s">
        <v>912</v>
      </c>
      <c r="Q271" t="s">
        <v>913</v>
      </c>
      <c r="R271" t="s">
        <v>914</v>
      </c>
      <c r="S271" s="111" t="s">
        <v>1873</v>
      </c>
    </row>
    <row r="272" spans="2:19">
      <c r="B272" s="254" t="str">
        <f t="shared" si="11"/>
        <v>objednavky@demos-trade.com</v>
      </c>
      <c r="C272">
        <v>144</v>
      </c>
      <c r="O272" s="143" t="s">
        <v>826</v>
      </c>
      <c r="P272" s="142" t="s">
        <v>826</v>
      </c>
      <c r="Q272" s="142" t="s">
        <v>824</v>
      </c>
      <c r="R272" s="142" t="s">
        <v>825</v>
      </c>
      <c r="S272" s="111" t="s">
        <v>1874</v>
      </c>
    </row>
    <row r="273" spans="2:19">
      <c r="B273" s="254" t="str">
        <f t="shared" si="11"/>
        <v>Nákresy profilů</v>
      </c>
      <c r="C273">
        <v>145</v>
      </c>
      <c r="O273" s="12" t="s">
        <v>827</v>
      </c>
      <c r="P273" t="s">
        <v>915</v>
      </c>
      <c r="Q273" t="s">
        <v>916</v>
      </c>
      <c r="R273" t="s">
        <v>917</v>
      </c>
      <c r="S273" s="111" t="s">
        <v>1875</v>
      </c>
    </row>
    <row r="274" spans="2:19">
      <c r="B274" s="254" t="str">
        <f t="shared" si="11"/>
        <v>Sada kování na úzký rámeček H27AL (88630)</v>
      </c>
      <c r="C274">
        <v>146</v>
      </c>
      <c r="O274" s="12" t="s">
        <v>829</v>
      </c>
      <c r="P274" t="s">
        <v>918</v>
      </c>
      <c r="Q274" t="s">
        <v>919</v>
      </c>
      <c r="R274" t="s">
        <v>920</v>
      </c>
      <c r="S274" s="111" t="s">
        <v>1876</v>
      </c>
    </row>
    <row r="275" spans="2:19">
      <c r="B275" s="254" t="str">
        <f t="shared" si="11"/>
        <v>Sada kování na široký rámeček H37AL (88631)</v>
      </c>
      <c r="C275">
        <v>147</v>
      </c>
      <c r="O275" s="12" t="s">
        <v>830</v>
      </c>
      <c r="P275" t="s">
        <v>921</v>
      </c>
      <c r="Q275" t="s">
        <v>922</v>
      </c>
      <c r="R275" t="s">
        <v>923</v>
      </c>
      <c r="S275" s="111" t="s">
        <v>1877</v>
      </c>
    </row>
    <row r="276" spans="2:19">
      <c r="B276" s="254" t="str">
        <f t="shared" si="11"/>
        <v>Výška rámečku je standardně o 6 mm menší, než uvedená vnitřní výška skříňky.</v>
      </c>
      <c r="C276">
        <v>148</v>
      </c>
      <c r="O276" s="12" t="s">
        <v>828</v>
      </c>
      <c r="P276" t="s">
        <v>924</v>
      </c>
      <c r="Q276" t="s">
        <v>1679</v>
      </c>
      <c r="R276" t="s">
        <v>925</v>
      </c>
      <c r="S276" s="111" t="s">
        <v>1878</v>
      </c>
    </row>
    <row r="277" spans="2:19">
      <c r="B277" s="254" t="str">
        <f t="shared" si="11"/>
        <v>Standardně jsou rámečky připraveny pro posuvné kování H27AL (nosnost 25 kg na rámeček) a H37AL (nosnost 35 kg na rámeček)</v>
      </c>
      <c r="C277">
        <v>149</v>
      </c>
      <c r="O277" s="12" t="s">
        <v>831</v>
      </c>
      <c r="P277" t="s">
        <v>926</v>
      </c>
      <c r="Q277" t="s">
        <v>1680</v>
      </c>
      <c r="R277" t="s">
        <v>927</v>
      </c>
      <c r="S277" s="111" t="s">
        <v>1879</v>
      </c>
    </row>
    <row r="278" spans="2:19">
      <c r="B278" s="254" t="str">
        <f t="shared" si="11"/>
        <v>Horní vedení délka 2 m (87313)</v>
      </c>
      <c r="C278">
        <v>150</v>
      </c>
      <c r="O278" s="12" t="s">
        <v>832</v>
      </c>
      <c r="P278" t="s">
        <v>928</v>
      </c>
      <c r="Q278" t="s">
        <v>929</v>
      </c>
      <c r="R278" t="s">
        <v>930</v>
      </c>
      <c r="S278" s="111" t="s">
        <v>1880</v>
      </c>
    </row>
    <row r="279" spans="2:19">
      <c r="B279" s="254" t="str">
        <f t="shared" si="11"/>
        <v>Spodní vedení délka 2 m (87315)</v>
      </c>
      <c r="C279">
        <v>151</v>
      </c>
      <c r="O279" s="12" t="s">
        <v>834</v>
      </c>
      <c r="P279" t="s">
        <v>931</v>
      </c>
      <c r="Q279" t="s">
        <v>932</v>
      </c>
      <c r="R279" t="s">
        <v>933</v>
      </c>
      <c r="S279" s="111" t="s">
        <v>1881</v>
      </c>
    </row>
    <row r="280" spans="2:19">
      <c r="B280" s="254" t="str">
        <f t="shared" si="11"/>
        <v>Horní vedení délka 3 m (87312)</v>
      </c>
      <c r="C280">
        <v>152</v>
      </c>
      <c r="O280" s="12" t="s">
        <v>833</v>
      </c>
      <c r="P280" t="s">
        <v>934</v>
      </c>
      <c r="Q280" t="s">
        <v>935</v>
      </c>
      <c r="R280" t="s">
        <v>936</v>
      </c>
      <c r="S280" s="111" t="s">
        <v>1882</v>
      </c>
    </row>
    <row r="281" spans="2:19">
      <c r="B281" s="254" t="str">
        <f t="shared" si="11"/>
        <v>Spodní vedení délka 3 m (87314)</v>
      </c>
      <c r="C281">
        <v>153</v>
      </c>
      <c r="O281" s="12" t="s">
        <v>835</v>
      </c>
      <c r="P281" t="s">
        <v>937</v>
      </c>
      <c r="Q281" t="s">
        <v>938</v>
      </c>
      <c r="R281" t="s">
        <v>939</v>
      </c>
      <c r="S281" s="111" t="s">
        <v>1883</v>
      </c>
    </row>
    <row r="282" spans="2:19">
      <c r="B282" s="254" t="str">
        <f t="shared" si="11"/>
        <v>Jiný požadavek (ks)</v>
      </c>
      <c r="C282">
        <v>154</v>
      </c>
      <c r="O282" s="12" t="s">
        <v>843</v>
      </c>
      <c r="P282" t="s">
        <v>940</v>
      </c>
      <c r="Q282" t="s">
        <v>941</v>
      </c>
      <c r="R282" t="s">
        <v>942</v>
      </c>
      <c r="S282" s="111" t="s">
        <v>1884</v>
      </c>
    </row>
    <row r="283" spans="2:19">
      <c r="B283" s="254" t="str">
        <f t="shared" si="11"/>
        <v>Množství (ks)</v>
      </c>
      <c r="C283">
        <v>155</v>
      </c>
      <c r="O283" s="12" t="s">
        <v>847</v>
      </c>
      <c r="P283" t="s">
        <v>943</v>
      </c>
      <c r="Q283" t="s">
        <v>944</v>
      </c>
      <c r="R283" t="s">
        <v>945</v>
      </c>
      <c r="S283" s="111" t="s">
        <v>1885</v>
      </c>
    </row>
    <row r="284" spans="2:19">
      <c r="B284" s="254" t="str">
        <f t="shared" si="11"/>
        <v>K nadrozměrným rámečkům (nad rozměr 1200 x 800 mm), může být účtován příplatek za speciální balení a dopravu (více informací na zákaznickém centru).</v>
      </c>
      <c r="C284">
        <v>156</v>
      </c>
      <c r="O284" s="12" t="s">
        <v>964</v>
      </c>
      <c r="P284" t="s">
        <v>946</v>
      </c>
      <c r="Q284" t="s">
        <v>947</v>
      </c>
      <c r="R284" t="s">
        <v>948</v>
      </c>
      <c r="S284" s="111" t="s">
        <v>1886</v>
      </c>
    </row>
    <row r="285" spans="2:19">
      <c r="B285" s="254" t="str">
        <f t="shared" si="11"/>
        <v xml:space="preserve">Vhodné rozměry rámečku pro konkrétní typ kování je nutné ověřit před zadáním do objednávky (Aventplan, katalog, …), formulář nemá nastaveny omezení. </v>
      </c>
      <c r="C285">
        <v>157</v>
      </c>
      <c r="O285" s="12" t="s">
        <v>849</v>
      </c>
      <c r="P285" t="s">
        <v>949</v>
      </c>
      <c r="Q285" t="s">
        <v>1681</v>
      </c>
      <c r="R285" t="s">
        <v>950</v>
      </c>
      <c r="S285" s="111" t="s">
        <v>1887</v>
      </c>
    </row>
    <row r="286" spans="2:19">
      <c r="B286" s="254" t="str">
        <f t="shared" si="11"/>
        <v>Vzorkovník skel je možné objednat pod kódy Lacebel VZK003P a Matelac VZK004P.</v>
      </c>
      <c r="C286">
        <v>158</v>
      </c>
      <c r="O286" s="12" t="s">
        <v>851</v>
      </c>
      <c r="P286" t="s">
        <v>952</v>
      </c>
      <c r="Q286" t="s">
        <v>951</v>
      </c>
      <c r="R286" t="s">
        <v>953</v>
      </c>
      <c r="S286" s="111" t="s">
        <v>1888</v>
      </c>
    </row>
    <row r="287" spans="2:19">
      <c r="B287" s="254" t="str">
        <f t="shared" si="11"/>
        <v xml:space="preserve">Cena za posuvné rámečky je shodná jako cena za běžné rámečky. </v>
      </c>
      <c r="C287">
        <v>159</v>
      </c>
      <c r="O287" s="12" t="s">
        <v>961</v>
      </c>
      <c r="P287" t="s">
        <v>966</v>
      </c>
      <c r="Q287" t="s">
        <v>965</v>
      </c>
      <c r="R287" t="s">
        <v>970</v>
      </c>
      <c r="S287" s="111" t="s">
        <v>1889</v>
      </c>
    </row>
    <row r="288" spans="2:19">
      <c r="B288" s="254" t="str">
        <f t="shared" si="11"/>
        <v>Pokud je úchytka připevněna skrz sklo, je nutné vždy použít distanční podložku (např. 144516, 191970, C0315)</v>
      </c>
      <c r="C288">
        <v>160</v>
      </c>
      <c r="O288" s="12" t="s">
        <v>1682</v>
      </c>
      <c r="P288" t="s">
        <v>1683</v>
      </c>
      <c r="Q288" t="s">
        <v>1684</v>
      </c>
      <c r="R288" t="s">
        <v>1685</v>
      </c>
      <c r="S288" s="111" t="s">
        <v>1890</v>
      </c>
    </row>
    <row r="289" spans="1:19">
      <c r="B289" s="254" t="str">
        <f t="shared" si="11"/>
        <v>Uvedené nákresy dvířek jsou znázorněny při pohledu z přední strany.</v>
      </c>
      <c r="C289">
        <v>161</v>
      </c>
      <c r="O289" s="12" t="s">
        <v>1009</v>
      </c>
      <c r="P289" t="s">
        <v>1374</v>
      </c>
      <c r="Q289" t="s">
        <v>1686</v>
      </c>
      <c r="R289" t="s">
        <v>1666</v>
      </c>
      <c r="S289" s="111" t="s">
        <v>1891</v>
      </c>
    </row>
    <row r="290" spans="1:19">
      <c r="B290" s="254" t="str">
        <f t="shared" si="11"/>
        <v>Nadrozměrný rámeček, může být účtováno vyšší dopravné</v>
      </c>
      <c r="C290">
        <v>162</v>
      </c>
      <c r="O290" s="12" t="s">
        <v>1010</v>
      </c>
      <c r="P290" t="s">
        <v>1011</v>
      </c>
      <c r="Q290" t="s">
        <v>1012</v>
      </c>
      <c r="R290" t="s">
        <v>1013</v>
      </c>
      <c r="S290" s="111" t="s">
        <v>1892</v>
      </c>
    </row>
    <row r="291" spans="1:19">
      <c r="B291" s="254" t="str">
        <f t="shared" si="11"/>
        <v>Umístění ramene</v>
      </c>
      <c r="C291">
        <v>163</v>
      </c>
      <c r="O291" s="12" t="s">
        <v>1055</v>
      </c>
      <c r="P291" t="s">
        <v>1375</v>
      </c>
      <c r="Q291" t="s">
        <v>1373</v>
      </c>
      <c r="R291" t="s">
        <v>1376</v>
      </c>
      <c r="S291" s="111" t="s">
        <v>1893</v>
      </c>
    </row>
    <row r="292" spans="1:19">
      <c r="B292" s="254" t="str">
        <f t="shared" si="11"/>
        <v>Maximální možný rozměr rámečku je 2500x1300mm</v>
      </c>
      <c r="C292">
        <v>164</v>
      </c>
      <c r="O292" s="12" t="s">
        <v>1212</v>
      </c>
      <c r="P292" t="s">
        <v>1220</v>
      </c>
      <c r="Q292" t="s">
        <v>1221</v>
      </c>
      <c r="R292" t="s">
        <v>1222</v>
      </c>
      <c r="S292" s="111" t="s">
        <v>1894</v>
      </c>
    </row>
    <row r="293" spans="1:19">
      <c r="B293" s="254" t="str">
        <f t="shared" si="11"/>
        <v>Minimální vzdálenost závěsu od kraje rámečku je 70mm</v>
      </c>
      <c r="C293">
        <v>165</v>
      </c>
      <c r="O293" s="12" t="s">
        <v>1213</v>
      </c>
      <c r="P293" t="s">
        <v>1223</v>
      </c>
      <c r="Q293" t="s">
        <v>1224</v>
      </c>
      <c r="R293" t="s">
        <v>1225</v>
      </c>
      <c r="S293" s="111" t="s">
        <v>1895</v>
      </c>
    </row>
    <row r="294" spans="1:19">
      <c r="B294" s="254" t="str">
        <f t="shared" si="11"/>
        <v>Minimální vzdálenost závěsu od kraje rámečku je 80mm</v>
      </c>
      <c r="C294">
        <v>166</v>
      </c>
      <c r="O294" s="12" t="s">
        <v>1214</v>
      </c>
      <c r="P294" t="s">
        <v>1226</v>
      </c>
      <c r="Q294" t="s">
        <v>1227</v>
      </c>
      <c r="R294" t="s">
        <v>1228</v>
      </c>
      <c r="S294" s="111" t="s">
        <v>1896</v>
      </c>
    </row>
    <row r="295" spans="1:19">
      <c r="A295">
        <v>123517</v>
      </c>
      <c r="B295" s="254" t="str">
        <f t="shared" si="11"/>
        <v>Naložený clip</v>
      </c>
      <c r="C295">
        <v>167</v>
      </c>
      <c r="O295" s="12" t="s">
        <v>121</v>
      </c>
      <c r="P295" t="s">
        <v>121</v>
      </c>
      <c r="Q295" t="s">
        <v>481</v>
      </c>
      <c r="R295" t="s">
        <v>557</v>
      </c>
      <c r="S295" s="111" t="s">
        <v>1775</v>
      </c>
    </row>
    <row r="296" spans="1:19">
      <c r="A296">
        <v>123518</v>
      </c>
      <c r="B296" s="254" t="str">
        <f t="shared" si="11"/>
        <v>Polonaložený clip</v>
      </c>
      <c r="C296">
        <v>168</v>
      </c>
      <c r="O296" s="12" t="s">
        <v>122</v>
      </c>
      <c r="P296" t="s">
        <v>122</v>
      </c>
      <c r="Q296" t="s">
        <v>482</v>
      </c>
      <c r="R296" t="s">
        <v>558</v>
      </c>
      <c r="S296" s="111" t="s">
        <v>1776</v>
      </c>
    </row>
    <row r="297" spans="1:19">
      <c r="A297">
        <v>123519</v>
      </c>
      <c r="B297" s="254" t="str">
        <f t="shared" si="11"/>
        <v>Vložený clip</v>
      </c>
      <c r="C297">
        <v>169</v>
      </c>
      <c r="O297" s="12" t="s">
        <v>123</v>
      </c>
      <c r="P297" t="s">
        <v>123</v>
      </c>
      <c r="Q297" t="s">
        <v>483</v>
      </c>
      <c r="R297" t="s">
        <v>559</v>
      </c>
      <c r="S297" s="111" t="s">
        <v>1777</v>
      </c>
    </row>
    <row r="298" spans="1:19">
      <c r="A298">
        <v>92991</v>
      </c>
      <c r="B298" s="254" t="str">
        <f t="shared" si="11"/>
        <v>Úhel 45°</v>
      </c>
      <c r="C298">
        <v>170</v>
      </c>
      <c r="O298" s="12" t="s">
        <v>124</v>
      </c>
      <c r="P298" t="s">
        <v>422</v>
      </c>
      <c r="Q298" t="s">
        <v>484</v>
      </c>
      <c r="R298" t="s">
        <v>560</v>
      </c>
      <c r="S298" s="111" t="s">
        <v>1778</v>
      </c>
    </row>
    <row r="299" spans="1:19">
      <c r="A299">
        <v>92950</v>
      </c>
      <c r="B299" s="254" t="str">
        <f t="shared" si="11"/>
        <v>Naložený</v>
      </c>
      <c r="C299">
        <v>171</v>
      </c>
      <c r="O299" s="12" t="s">
        <v>125</v>
      </c>
      <c r="P299" t="s">
        <v>423</v>
      </c>
      <c r="Q299" t="s">
        <v>485</v>
      </c>
      <c r="R299" t="s">
        <v>561</v>
      </c>
      <c r="S299" s="111" t="s">
        <v>1779</v>
      </c>
    </row>
    <row r="300" spans="1:19">
      <c r="A300">
        <v>92951</v>
      </c>
      <c r="B300" s="254" t="str">
        <f t="shared" si="11"/>
        <v>Polonaložený</v>
      </c>
      <c r="C300">
        <v>172</v>
      </c>
      <c r="O300" s="12" t="s">
        <v>126</v>
      </c>
      <c r="P300" t="s">
        <v>424</v>
      </c>
      <c r="Q300" t="s">
        <v>486</v>
      </c>
      <c r="R300" t="s">
        <v>562</v>
      </c>
      <c r="S300" s="111" t="s">
        <v>1780</v>
      </c>
    </row>
    <row r="301" spans="1:19">
      <c r="A301">
        <v>92952</v>
      </c>
      <c r="B301" s="254" t="str">
        <f t="shared" si="11"/>
        <v>Vložený</v>
      </c>
      <c r="C301">
        <v>173</v>
      </c>
      <c r="O301" s="12" t="s">
        <v>127</v>
      </c>
      <c r="P301" t="s">
        <v>425</v>
      </c>
      <c r="Q301" t="s">
        <v>487</v>
      </c>
      <c r="R301" t="s">
        <v>563</v>
      </c>
      <c r="S301" s="111" t="s">
        <v>1781</v>
      </c>
    </row>
    <row r="302" spans="1:19">
      <c r="A302">
        <v>92957</v>
      </c>
      <c r="B302" s="254" t="str">
        <f t="shared" si="11"/>
        <v>Úhel 45°</v>
      </c>
      <c r="C302">
        <v>174</v>
      </c>
      <c r="O302" s="12" t="s">
        <v>124</v>
      </c>
      <c r="P302" t="s">
        <v>422</v>
      </c>
      <c r="Q302" t="s">
        <v>484</v>
      </c>
      <c r="R302" t="s">
        <v>560</v>
      </c>
      <c r="S302" s="111" t="s">
        <v>1778</v>
      </c>
    </row>
    <row r="303" spans="1:19">
      <c r="A303">
        <v>93000</v>
      </c>
      <c r="B303" s="254" t="str">
        <f t="shared" si="11"/>
        <v>Naložený s opačnou pružinou</v>
      </c>
      <c r="C303">
        <v>175</v>
      </c>
      <c r="O303" s="12" t="s">
        <v>128</v>
      </c>
      <c r="P303" t="s">
        <v>128</v>
      </c>
      <c r="Q303" t="s">
        <v>488</v>
      </c>
      <c r="R303" t="s">
        <v>564</v>
      </c>
      <c r="S303" s="111" t="s">
        <v>1782</v>
      </c>
    </row>
    <row r="304" spans="1:19">
      <c r="A304">
        <v>93903</v>
      </c>
      <c r="B304" s="254" t="str">
        <f t="shared" si="11"/>
        <v>Vložený s opačnou pružinou</v>
      </c>
      <c r="C304">
        <v>176</v>
      </c>
      <c r="O304" s="12" t="s">
        <v>129</v>
      </c>
      <c r="P304" t="s">
        <v>129</v>
      </c>
      <c r="Q304" t="s">
        <v>489</v>
      </c>
      <c r="R304" t="s">
        <v>565</v>
      </c>
      <c r="S304" s="111" t="s">
        <v>1783</v>
      </c>
    </row>
    <row r="305" spans="1:19">
      <c r="A305">
        <v>92975</v>
      </c>
      <c r="B305" s="254" t="str">
        <f t="shared" si="11"/>
        <v>Clip na vrut H2</v>
      </c>
      <c r="C305">
        <v>177</v>
      </c>
      <c r="O305" s="12" t="s">
        <v>212</v>
      </c>
      <c r="P305" t="s">
        <v>426</v>
      </c>
      <c r="Q305" t="s">
        <v>490</v>
      </c>
      <c r="R305" t="s">
        <v>566</v>
      </c>
      <c r="S305" s="111" t="s">
        <v>1784</v>
      </c>
    </row>
    <row r="306" spans="1:19">
      <c r="A306">
        <v>92961</v>
      </c>
      <c r="B306" s="254" t="str">
        <f t="shared" si="11"/>
        <v>Clip na vrut H4</v>
      </c>
      <c r="C306">
        <v>178</v>
      </c>
      <c r="O306" s="12" t="s">
        <v>213</v>
      </c>
      <c r="P306" t="s">
        <v>427</v>
      </c>
      <c r="Q306" t="s">
        <v>491</v>
      </c>
      <c r="R306" t="s">
        <v>567</v>
      </c>
      <c r="S306" s="111" t="s">
        <v>1785</v>
      </c>
    </row>
    <row r="307" spans="1:19">
      <c r="A307">
        <v>92962</v>
      </c>
      <c r="B307" s="254" t="str">
        <f t="shared" si="11"/>
        <v>Clip na eurošroub H2</v>
      </c>
      <c r="C307">
        <v>179</v>
      </c>
      <c r="O307" s="12" t="s">
        <v>214</v>
      </c>
      <c r="P307" t="s">
        <v>428</v>
      </c>
      <c r="Q307" t="s">
        <v>492</v>
      </c>
      <c r="R307" t="s">
        <v>568</v>
      </c>
      <c r="S307" s="111" t="s">
        <v>1786</v>
      </c>
    </row>
    <row r="308" spans="1:19">
      <c r="A308">
        <v>92969</v>
      </c>
      <c r="B308" s="254" t="str">
        <f t="shared" si="11"/>
        <v>Clip na eurošroub H4</v>
      </c>
      <c r="C308">
        <v>180</v>
      </c>
      <c r="O308" s="12" t="s">
        <v>215</v>
      </c>
      <c r="P308" t="s">
        <v>429</v>
      </c>
      <c r="Q308" t="s">
        <v>493</v>
      </c>
      <c r="R308" t="s">
        <v>569</v>
      </c>
      <c r="S308" s="111" t="s">
        <v>1787</v>
      </c>
    </row>
    <row r="309" spans="1:19">
      <c r="A309">
        <v>92960</v>
      </c>
      <c r="B309" s="254" t="str">
        <f t="shared" si="11"/>
        <v>Slide on na vrut H2</v>
      </c>
      <c r="C309">
        <v>181</v>
      </c>
      <c r="O309" s="12" t="s">
        <v>216</v>
      </c>
      <c r="P309" t="s">
        <v>430</v>
      </c>
      <c r="Q309" t="s">
        <v>494</v>
      </c>
      <c r="R309" t="s">
        <v>570</v>
      </c>
      <c r="S309" s="111" t="s">
        <v>1788</v>
      </c>
    </row>
    <row r="310" spans="1:19">
      <c r="A310">
        <v>92961</v>
      </c>
      <c r="B310" s="254" t="str">
        <f t="shared" si="11"/>
        <v>Slide on na vrut H4</v>
      </c>
      <c r="C310">
        <v>182</v>
      </c>
      <c r="O310" s="12" t="s">
        <v>217</v>
      </c>
      <c r="P310" t="s">
        <v>431</v>
      </c>
      <c r="Q310" t="s">
        <v>495</v>
      </c>
      <c r="R310" t="s">
        <v>571</v>
      </c>
      <c r="S310" s="111" t="s">
        <v>1789</v>
      </c>
    </row>
    <row r="311" spans="1:19">
      <c r="A311">
        <v>92962</v>
      </c>
      <c r="B311" s="254" t="str">
        <f t="shared" si="11"/>
        <v>Slide on na eurošroub H2</v>
      </c>
      <c r="C311">
        <v>183</v>
      </c>
      <c r="O311" s="12" t="s">
        <v>218</v>
      </c>
      <c r="P311" t="s">
        <v>432</v>
      </c>
      <c r="Q311" t="s">
        <v>496</v>
      </c>
      <c r="R311" t="s">
        <v>572</v>
      </c>
      <c r="S311" s="111" t="s">
        <v>1790</v>
      </c>
    </row>
    <row r="312" spans="1:19">
      <c r="A312">
        <v>92963</v>
      </c>
      <c r="B312" s="254" t="str">
        <f t="shared" si="11"/>
        <v>Slide on na eurošroub H4</v>
      </c>
      <c r="C312">
        <v>184</v>
      </c>
      <c r="O312" s="12" t="s">
        <v>219</v>
      </c>
      <c r="P312" t="s">
        <v>433</v>
      </c>
      <c r="Q312" t="s">
        <v>497</v>
      </c>
      <c r="R312" t="s">
        <v>573</v>
      </c>
      <c r="S312" s="111" t="s">
        <v>1791</v>
      </c>
    </row>
    <row r="313" spans="1:19">
      <c r="A313">
        <v>92584</v>
      </c>
      <c r="B313" s="254" t="str">
        <f t="shared" si="11"/>
        <v>Naložený clip</v>
      </c>
      <c r="C313">
        <v>185</v>
      </c>
      <c r="O313" s="12" t="s">
        <v>121</v>
      </c>
      <c r="P313" t="s">
        <v>121</v>
      </c>
      <c r="Q313" t="s">
        <v>481</v>
      </c>
      <c r="R313" t="s">
        <v>557</v>
      </c>
      <c r="S313" s="111" t="s">
        <v>1775</v>
      </c>
    </row>
    <row r="314" spans="1:19">
      <c r="A314">
        <v>92585</v>
      </c>
      <c r="B314" s="254" t="str">
        <f t="shared" si="11"/>
        <v>Polonaložený clip</v>
      </c>
      <c r="C314">
        <v>186</v>
      </c>
      <c r="O314" s="12" t="s">
        <v>122</v>
      </c>
      <c r="P314" t="s">
        <v>122</v>
      </c>
      <c r="Q314" t="s">
        <v>482</v>
      </c>
      <c r="R314" t="s">
        <v>558</v>
      </c>
      <c r="S314" s="111" t="s">
        <v>1776</v>
      </c>
    </row>
    <row r="315" spans="1:19">
      <c r="A315">
        <v>92586</v>
      </c>
      <c r="B315" s="254" t="str">
        <f t="shared" si="11"/>
        <v>Vložený clip</v>
      </c>
      <c r="C315">
        <v>187</v>
      </c>
      <c r="O315" s="12" t="s">
        <v>123</v>
      </c>
      <c r="P315" t="s">
        <v>123</v>
      </c>
      <c r="Q315" t="s">
        <v>483</v>
      </c>
      <c r="R315" t="s">
        <v>559</v>
      </c>
      <c r="S315" s="111" t="s">
        <v>1777</v>
      </c>
    </row>
    <row r="316" spans="1:19">
      <c r="A316">
        <v>92588</v>
      </c>
      <c r="B316" s="254" t="str">
        <f t="shared" si="11"/>
        <v>45° clip</v>
      </c>
      <c r="C316">
        <v>188</v>
      </c>
      <c r="O316" s="12" t="s">
        <v>10</v>
      </c>
      <c r="P316" t="s">
        <v>440</v>
      </c>
      <c r="Q316" t="s">
        <v>10</v>
      </c>
      <c r="R316" t="s">
        <v>10</v>
      </c>
      <c r="S316" s="111" t="s">
        <v>1802</v>
      </c>
    </row>
    <row r="317" spans="1:19">
      <c r="A317">
        <v>92597</v>
      </c>
      <c r="B317" s="254" t="str">
        <f t="shared" si="11"/>
        <v xml:space="preserve">StrongHinges Clip na eurošroub H0 </v>
      </c>
      <c r="C317">
        <v>189</v>
      </c>
      <c r="O317" s="12" t="s">
        <v>3679</v>
      </c>
      <c r="P317" t="s">
        <v>3680</v>
      </c>
      <c r="Q317" t="s">
        <v>3681</v>
      </c>
      <c r="R317" t="s">
        <v>3682</v>
      </c>
      <c r="S317" s="111" t="s">
        <v>3760</v>
      </c>
    </row>
    <row r="318" spans="1:19">
      <c r="A318">
        <v>92596</v>
      </c>
      <c r="B318" s="254" t="str">
        <f t="shared" si="11"/>
        <v>StrongHinges Clip na vrut H0</v>
      </c>
      <c r="C318">
        <v>190</v>
      </c>
      <c r="O318" s="12" t="s">
        <v>3684</v>
      </c>
      <c r="P318" t="s">
        <v>3685</v>
      </c>
      <c r="Q318" t="s">
        <v>3686</v>
      </c>
      <c r="R318" t="s">
        <v>3687</v>
      </c>
      <c r="S318" s="111" t="s">
        <v>3761</v>
      </c>
    </row>
    <row r="319" spans="1:19">
      <c r="A319">
        <v>92599</v>
      </c>
      <c r="B319" s="254" t="str">
        <f t="shared" si="11"/>
        <v>StrongHinges Clip na eurošroub H2</v>
      </c>
      <c r="C319">
        <v>191</v>
      </c>
      <c r="O319" s="12" t="s">
        <v>3689</v>
      </c>
      <c r="P319" t="s">
        <v>3690</v>
      </c>
      <c r="Q319" t="s">
        <v>3691</v>
      </c>
      <c r="R319" t="s">
        <v>3692</v>
      </c>
      <c r="S319" s="111" t="s">
        <v>3762</v>
      </c>
    </row>
    <row r="320" spans="1:19">
      <c r="A320">
        <v>92598</v>
      </c>
      <c r="B320" s="254" t="str">
        <f t="shared" si="11"/>
        <v>StrongHinges Clip na vrut H2</v>
      </c>
      <c r="C320">
        <v>192</v>
      </c>
      <c r="O320" s="12" t="s">
        <v>3694</v>
      </c>
      <c r="P320" t="s">
        <v>3695</v>
      </c>
      <c r="Q320" t="s">
        <v>3696</v>
      </c>
      <c r="R320" t="s">
        <v>3697</v>
      </c>
      <c r="S320" s="111" t="s">
        <v>3763</v>
      </c>
    </row>
    <row r="321" spans="1:19">
      <c r="A321" t="s">
        <v>803</v>
      </c>
      <c r="B321" s="254" t="str">
        <f t="shared" ref="B321:B384" si="12">IF($D$1=1,O:O,IF($D$1=2,P:P,IF($D$1=3,Q:Q,IF($D$1=4,R:R,IF($D$1=5,S:S)))))</f>
        <v>Naložený clip</v>
      </c>
      <c r="C321">
        <v>193</v>
      </c>
      <c r="O321" s="12" t="s">
        <v>121</v>
      </c>
      <c r="P321" t="s">
        <v>121</v>
      </c>
      <c r="Q321" t="s">
        <v>481</v>
      </c>
      <c r="R321" t="s">
        <v>557</v>
      </c>
      <c r="S321" s="111" t="s">
        <v>1775</v>
      </c>
    </row>
    <row r="322" spans="1:19">
      <c r="A322" t="s">
        <v>114</v>
      </c>
      <c r="B322" s="254" t="str">
        <f t="shared" si="12"/>
        <v>Naložený clip</v>
      </c>
      <c r="C322">
        <v>194</v>
      </c>
      <c r="O322" s="12" t="s">
        <v>121</v>
      </c>
      <c r="P322" t="s">
        <v>121</v>
      </c>
      <c r="Q322" t="s">
        <v>481</v>
      </c>
      <c r="R322" t="s">
        <v>557</v>
      </c>
      <c r="S322" s="111" t="s">
        <v>1775</v>
      </c>
    </row>
    <row r="323" spans="1:19">
      <c r="A323" t="s">
        <v>115</v>
      </c>
      <c r="B323" s="254" t="str">
        <f t="shared" si="12"/>
        <v>Polonaložený clip</v>
      </c>
      <c r="C323">
        <v>195</v>
      </c>
      <c r="O323" s="12" t="s">
        <v>122</v>
      </c>
      <c r="P323" t="s">
        <v>122</v>
      </c>
      <c r="Q323" t="s">
        <v>482</v>
      </c>
      <c r="R323" t="s">
        <v>558</v>
      </c>
      <c r="S323" s="111" t="s">
        <v>1776</v>
      </c>
    </row>
    <row r="324" spans="1:19">
      <c r="A324" t="s">
        <v>116</v>
      </c>
      <c r="B324" s="254" t="str">
        <f t="shared" si="12"/>
        <v>Vložený clip</v>
      </c>
      <c r="C324">
        <v>196</v>
      </c>
      <c r="O324" s="12" t="s">
        <v>123</v>
      </c>
      <c r="P324" t="s">
        <v>123</v>
      </c>
      <c r="Q324" t="s">
        <v>483</v>
      </c>
      <c r="R324" t="s">
        <v>559</v>
      </c>
      <c r="S324" s="111" t="s">
        <v>1777</v>
      </c>
    </row>
    <row r="325" spans="1:19">
      <c r="A325" t="s">
        <v>118</v>
      </c>
      <c r="B325" s="254" t="str">
        <f t="shared" si="12"/>
        <v>45° clip</v>
      </c>
      <c r="C325">
        <v>197</v>
      </c>
      <c r="O325" s="12" t="s">
        <v>10</v>
      </c>
      <c r="P325" t="s">
        <v>440</v>
      </c>
      <c r="Q325" t="s">
        <v>10</v>
      </c>
      <c r="R325" t="s">
        <v>10</v>
      </c>
      <c r="S325" s="111" t="s">
        <v>1802</v>
      </c>
    </row>
    <row r="326" spans="1:19">
      <c r="A326" t="s">
        <v>119</v>
      </c>
      <c r="B326" s="254" t="str">
        <f t="shared" si="12"/>
        <v xml:space="preserve">Clip na eurošroub H0 </v>
      </c>
      <c r="C326">
        <v>198</v>
      </c>
      <c r="O326" s="12" t="s">
        <v>211</v>
      </c>
      <c r="P326" t="s">
        <v>441</v>
      </c>
      <c r="Q326" t="s">
        <v>506</v>
      </c>
      <c r="R326" t="s">
        <v>582</v>
      </c>
      <c r="S326" s="111" t="s">
        <v>1803</v>
      </c>
    </row>
    <row r="327" spans="1:19">
      <c r="A327" t="s">
        <v>113</v>
      </c>
      <c r="B327" s="254" t="str">
        <f t="shared" si="12"/>
        <v>Clip na vrut H0</v>
      </c>
      <c r="C327">
        <v>199</v>
      </c>
      <c r="O327" s="12" t="s">
        <v>210</v>
      </c>
      <c r="P327" t="s">
        <v>442</v>
      </c>
      <c r="Q327" t="s">
        <v>507</v>
      </c>
      <c r="R327" t="s">
        <v>583</v>
      </c>
      <c r="S327" s="111" t="s">
        <v>1804</v>
      </c>
    </row>
    <row r="328" spans="1:19">
      <c r="A328" t="s">
        <v>146</v>
      </c>
      <c r="B328" s="254" t="str">
        <f t="shared" si="12"/>
        <v>Clip na eurošroub H2</v>
      </c>
      <c r="C328">
        <v>200</v>
      </c>
      <c r="O328" s="12" t="s">
        <v>214</v>
      </c>
      <c r="P328" t="s">
        <v>428</v>
      </c>
      <c r="Q328" t="s">
        <v>492</v>
      </c>
      <c r="R328" t="s">
        <v>568</v>
      </c>
      <c r="S328" s="111" t="s">
        <v>1786</v>
      </c>
    </row>
    <row r="329" spans="1:19">
      <c r="A329">
        <v>104717</v>
      </c>
      <c r="B329" s="254" t="str">
        <f t="shared" si="12"/>
        <v>Sensys naložený tlumený</v>
      </c>
      <c r="C329">
        <v>201</v>
      </c>
      <c r="O329" s="12" t="s">
        <v>1028</v>
      </c>
      <c r="P329" t="s">
        <v>1229</v>
      </c>
      <c r="Q329" t="s">
        <v>1230</v>
      </c>
      <c r="R329" t="s">
        <v>1231</v>
      </c>
      <c r="S329" s="111" t="s">
        <v>1897</v>
      </c>
    </row>
    <row r="330" spans="1:19">
      <c r="A330">
        <v>104718</v>
      </c>
      <c r="B330" s="254" t="str">
        <f t="shared" si="12"/>
        <v>Sensys polonaložený tlumený</v>
      </c>
      <c r="C330">
        <v>202</v>
      </c>
      <c r="O330" s="12" t="s">
        <v>1029</v>
      </c>
      <c r="P330" t="s">
        <v>1232</v>
      </c>
      <c r="Q330" t="s">
        <v>1233</v>
      </c>
      <c r="R330" t="s">
        <v>1234</v>
      </c>
      <c r="S330" s="111" t="s">
        <v>1898</v>
      </c>
    </row>
    <row r="331" spans="1:19">
      <c r="A331">
        <v>104719</v>
      </c>
      <c r="B331" s="254" t="str">
        <f t="shared" si="12"/>
        <v>Sensys vložený tlumený</v>
      </c>
      <c r="C331">
        <v>203</v>
      </c>
      <c r="O331" s="12" t="s">
        <v>1030</v>
      </c>
      <c r="P331" t="s">
        <v>1235</v>
      </c>
      <c r="Q331" t="s">
        <v>1236</v>
      </c>
      <c r="R331" t="s">
        <v>1237</v>
      </c>
      <c r="S331" s="111" t="s">
        <v>1899</v>
      </c>
    </row>
    <row r="332" spans="1:19">
      <c r="A332">
        <v>104802</v>
      </c>
      <c r="B332" s="254" t="str">
        <f t="shared" si="12"/>
        <v>Sensys příložný tlumený</v>
      </c>
      <c r="C332">
        <v>204</v>
      </c>
      <c r="O332" s="12" t="s">
        <v>1032</v>
      </c>
      <c r="P332" t="s">
        <v>1238</v>
      </c>
      <c r="Q332" t="s">
        <v>1239</v>
      </c>
      <c r="R332" t="s">
        <v>1240</v>
      </c>
      <c r="S332" s="111" t="s">
        <v>1900</v>
      </c>
    </row>
    <row r="333" spans="1:19">
      <c r="A333">
        <v>232346</v>
      </c>
      <c r="B333" s="254" t="str">
        <f t="shared" si="12"/>
        <v>Sensys naložený netlumený</v>
      </c>
      <c r="C333">
        <v>205</v>
      </c>
      <c r="O333" s="12" t="s">
        <v>1034</v>
      </c>
      <c r="P333" t="s">
        <v>1241</v>
      </c>
      <c r="Q333" t="s">
        <v>1242</v>
      </c>
      <c r="R333" t="s">
        <v>1243</v>
      </c>
      <c r="S333" s="111" t="s">
        <v>1901</v>
      </c>
    </row>
    <row r="334" spans="1:19">
      <c r="A334">
        <v>104189</v>
      </c>
      <c r="B334" s="254" t="str">
        <f t="shared" si="12"/>
        <v>Intermat naložený</v>
      </c>
      <c r="C334">
        <v>206</v>
      </c>
      <c r="O334" s="12" t="s">
        <v>1037</v>
      </c>
      <c r="P334" t="s">
        <v>1037</v>
      </c>
      <c r="Q334" t="s">
        <v>1244</v>
      </c>
      <c r="R334" t="s">
        <v>1245</v>
      </c>
      <c r="S334" s="111" t="s">
        <v>1902</v>
      </c>
    </row>
    <row r="335" spans="1:19">
      <c r="A335">
        <v>104257</v>
      </c>
      <c r="B335" s="254" t="str">
        <f t="shared" si="12"/>
        <v>Intermat naložený 125°</v>
      </c>
      <c r="C335">
        <v>207</v>
      </c>
      <c r="O335" s="12" t="s">
        <v>1038</v>
      </c>
      <c r="P335" t="s">
        <v>1038</v>
      </c>
      <c r="Q335" t="s">
        <v>1246</v>
      </c>
      <c r="R335" t="s">
        <v>1247</v>
      </c>
      <c r="S335" s="111" t="s">
        <v>1903</v>
      </c>
    </row>
    <row r="336" spans="1:19">
      <c r="A336">
        <v>104190</v>
      </c>
      <c r="B336" s="254" t="str">
        <f t="shared" si="12"/>
        <v>Intermat polonaložený</v>
      </c>
      <c r="C336">
        <v>208</v>
      </c>
      <c r="O336" s="12" t="s">
        <v>1039</v>
      </c>
      <c r="P336" t="s">
        <v>1039</v>
      </c>
      <c r="Q336" t="s">
        <v>1248</v>
      </c>
      <c r="R336" t="s">
        <v>1249</v>
      </c>
      <c r="S336" s="111" t="s">
        <v>1904</v>
      </c>
    </row>
    <row r="337" spans="1:19">
      <c r="A337">
        <v>104191</v>
      </c>
      <c r="B337" s="254" t="str">
        <f t="shared" si="12"/>
        <v>Intermat vložený</v>
      </c>
      <c r="C337">
        <v>209</v>
      </c>
      <c r="O337" s="12" t="s">
        <v>1040</v>
      </c>
      <c r="P337" t="s">
        <v>1040</v>
      </c>
      <c r="Q337" t="s">
        <v>1250</v>
      </c>
      <c r="R337" t="s">
        <v>1251</v>
      </c>
      <c r="S337" s="111" t="s">
        <v>1905</v>
      </c>
    </row>
    <row r="338" spans="1:19">
      <c r="A338">
        <v>104574</v>
      </c>
      <c r="B338" s="254" t="str">
        <f t="shared" si="12"/>
        <v>Intermat příložný</v>
      </c>
      <c r="C338">
        <v>210</v>
      </c>
      <c r="O338" s="12" t="s">
        <v>1046</v>
      </c>
      <c r="P338" t="s">
        <v>1252</v>
      </c>
      <c r="Q338" t="s">
        <v>1253</v>
      </c>
      <c r="R338" t="s">
        <v>1254</v>
      </c>
      <c r="S338" s="111" t="s">
        <v>1906</v>
      </c>
    </row>
    <row r="339" spans="1:19">
      <c r="A339">
        <v>300282</v>
      </c>
      <c r="B339" s="254" t="str">
        <f t="shared" si="12"/>
        <v>Sensys naložený bez tlumení</v>
      </c>
      <c r="C339">
        <v>211</v>
      </c>
      <c r="O339" s="12" t="s">
        <v>1073</v>
      </c>
      <c r="P339" t="s">
        <v>1255</v>
      </c>
      <c r="Q339" t="s">
        <v>1242</v>
      </c>
      <c r="R339" t="s">
        <v>1243</v>
      </c>
      <c r="S339" s="111" t="s">
        <v>1901</v>
      </c>
    </row>
    <row r="340" spans="1:19">
      <c r="A340">
        <v>300284</v>
      </c>
      <c r="B340" s="254" t="str">
        <f t="shared" si="12"/>
        <v>Sensys vložený bez tlumení</v>
      </c>
      <c r="C340">
        <v>212</v>
      </c>
      <c r="O340" s="12" t="s">
        <v>1074</v>
      </c>
      <c r="P340" t="s">
        <v>1256</v>
      </c>
      <c r="Q340" t="s">
        <v>1257</v>
      </c>
      <c r="R340" t="s">
        <v>1258</v>
      </c>
      <c r="S340" s="111" t="s">
        <v>1907</v>
      </c>
    </row>
    <row r="341" spans="1:19">
      <c r="A341">
        <v>300279</v>
      </c>
      <c r="B341" s="254" t="str">
        <f t="shared" si="12"/>
        <v>Sensys naložený tlumený</v>
      </c>
      <c r="C341">
        <v>213</v>
      </c>
      <c r="O341" s="12" t="s">
        <v>1028</v>
      </c>
      <c r="P341" t="s">
        <v>1229</v>
      </c>
      <c r="Q341" t="s">
        <v>1230</v>
      </c>
      <c r="R341" t="s">
        <v>1231</v>
      </c>
      <c r="S341" s="111" t="s">
        <v>1897</v>
      </c>
    </row>
    <row r="342" spans="1:19">
      <c r="A342">
        <v>300281</v>
      </c>
      <c r="B342" s="254" t="str">
        <f t="shared" si="12"/>
        <v>Sensys vložený tlumený</v>
      </c>
      <c r="C342">
        <v>214</v>
      </c>
      <c r="O342" s="12" t="s">
        <v>1030</v>
      </c>
      <c r="P342" t="s">
        <v>1235</v>
      </c>
      <c r="Q342" t="s">
        <v>1236</v>
      </c>
      <c r="R342" t="s">
        <v>1237</v>
      </c>
      <c r="S342" s="111" t="s">
        <v>1899</v>
      </c>
    </row>
    <row r="343" spans="1:19">
      <c r="A343">
        <v>300801</v>
      </c>
      <c r="B343" s="254" t="str">
        <f t="shared" si="12"/>
        <v>Intermat naložený</v>
      </c>
      <c r="C343">
        <v>215</v>
      </c>
      <c r="O343" s="12" t="s">
        <v>1037</v>
      </c>
      <c r="P343" t="s">
        <v>1037</v>
      </c>
      <c r="Q343" t="s">
        <v>1244</v>
      </c>
      <c r="R343" t="s">
        <v>1245</v>
      </c>
      <c r="S343" s="111" t="s">
        <v>1902</v>
      </c>
    </row>
    <row r="344" spans="1:19">
      <c r="A344">
        <v>300803</v>
      </c>
      <c r="B344" s="254" t="str">
        <f t="shared" si="12"/>
        <v>Intermat vložený</v>
      </c>
      <c r="C344">
        <v>216</v>
      </c>
      <c r="O344" s="12" t="s">
        <v>1040</v>
      </c>
      <c r="P344" t="s">
        <v>1040</v>
      </c>
      <c r="Q344" t="s">
        <v>1250</v>
      </c>
      <c r="R344" t="s">
        <v>1251</v>
      </c>
      <c r="S344" s="111" t="s">
        <v>1905</v>
      </c>
    </row>
    <row r="345" spans="1:19">
      <c r="A345">
        <v>106403</v>
      </c>
      <c r="B345" s="254" t="str">
        <f t="shared" si="12"/>
        <v>podložka na vrut</v>
      </c>
      <c r="C345">
        <v>217</v>
      </c>
      <c r="O345" s="12" t="s">
        <v>1185</v>
      </c>
      <c r="P345" t="s">
        <v>1185</v>
      </c>
      <c r="Q345" t="s">
        <v>1259</v>
      </c>
      <c r="R345" t="s">
        <v>1260</v>
      </c>
      <c r="S345" s="111" t="s">
        <v>1908</v>
      </c>
    </row>
    <row r="346" spans="1:19">
      <c r="A346">
        <v>119240</v>
      </c>
      <c r="B346" s="254" t="str">
        <f t="shared" si="12"/>
        <v>podložka na Eurovrut</v>
      </c>
      <c r="C346">
        <v>218</v>
      </c>
      <c r="O346" s="12" t="s">
        <v>1053</v>
      </c>
      <c r="P346" t="s">
        <v>1053</v>
      </c>
      <c r="Q346" t="s">
        <v>1261</v>
      </c>
      <c r="R346" t="s">
        <v>1262</v>
      </c>
      <c r="S346" s="111" t="s">
        <v>1909</v>
      </c>
    </row>
    <row r="347" spans="1:19">
      <c r="A347">
        <v>136276</v>
      </c>
      <c r="B347" s="254" t="str">
        <f t="shared" si="12"/>
        <v>podložka na rozpěrnou hmoždinku</v>
      </c>
      <c r="C347">
        <v>219</v>
      </c>
      <c r="O347" s="12" t="s">
        <v>1054</v>
      </c>
      <c r="P347" t="s">
        <v>1263</v>
      </c>
      <c r="Q347" t="s">
        <v>1264</v>
      </c>
      <c r="R347" t="s">
        <v>1265</v>
      </c>
      <c r="S347" s="111" t="s">
        <v>1910</v>
      </c>
    </row>
    <row r="348" spans="1:19">
      <c r="A348">
        <v>12002</v>
      </c>
      <c r="B348" s="254" t="str">
        <f t="shared" si="12"/>
        <v>naložený clip</v>
      </c>
      <c r="C348">
        <v>220</v>
      </c>
      <c r="O348" s="12" t="s">
        <v>1186</v>
      </c>
      <c r="P348" t="s">
        <v>121</v>
      </c>
      <c r="Q348" t="s">
        <v>481</v>
      </c>
      <c r="R348" t="s">
        <v>557</v>
      </c>
      <c r="S348" s="111" t="s">
        <v>1775</v>
      </c>
    </row>
    <row r="349" spans="1:19">
      <c r="A349">
        <v>12005</v>
      </c>
      <c r="B349" s="254" t="str">
        <f t="shared" si="12"/>
        <v>polonaložený clip</v>
      </c>
      <c r="C349">
        <v>221</v>
      </c>
      <c r="O349" s="12" t="s">
        <v>1187</v>
      </c>
      <c r="P349" t="s">
        <v>122</v>
      </c>
      <c r="Q349" t="s">
        <v>482</v>
      </c>
      <c r="R349" t="s">
        <v>558</v>
      </c>
      <c r="S349" s="111" t="s">
        <v>1776</v>
      </c>
    </row>
    <row r="350" spans="1:19">
      <c r="A350">
        <v>12008</v>
      </c>
      <c r="B350" s="254" t="str">
        <f t="shared" si="12"/>
        <v>Vložený clip</v>
      </c>
      <c r="C350">
        <v>222</v>
      </c>
      <c r="O350" s="12" t="s">
        <v>123</v>
      </c>
      <c r="P350" t="s">
        <v>123</v>
      </c>
      <c r="Q350" t="s">
        <v>483</v>
      </c>
      <c r="R350" t="s">
        <v>559</v>
      </c>
      <c r="S350" s="111" t="s">
        <v>1777</v>
      </c>
    </row>
    <row r="351" spans="1:19">
      <c r="A351">
        <v>12047</v>
      </c>
      <c r="B351" s="254" t="str">
        <f t="shared" si="12"/>
        <v>naložený s tlumením clip 110°</v>
      </c>
      <c r="C351">
        <v>223</v>
      </c>
      <c r="O351" s="12" t="s">
        <v>1058</v>
      </c>
      <c r="P351" t="s">
        <v>1266</v>
      </c>
      <c r="Q351" t="s">
        <v>1267</v>
      </c>
      <c r="R351" t="s">
        <v>1539</v>
      </c>
      <c r="S351" s="111" t="s">
        <v>1911</v>
      </c>
    </row>
    <row r="352" spans="1:19">
      <c r="A352">
        <v>12048</v>
      </c>
      <c r="B352" s="254" t="str">
        <f t="shared" si="12"/>
        <v>polonaložený s tlumením clip 110°</v>
      </c>
      <c r="C352">
        <v>224</v>
      </c>
      <c r="O352" s="12" t="s">
        <v>1059</v>
      </c>
      <c r="P352" t="s">
        <v>1268</v>
      </c>
      <c r="Q352" t="s">
        <v>1269</v>
      </c>
      <c r="R352" t="s">
        <v>1540</v>
      </c>
      <c r="S352" s="111" t="s">
        <v>1912</v>
      </c>
    </row>
    <row r="353" spans="1:19">
      <c r="A353">
        <v>12049</v>
      </c>
      <c r="B353" s="254" t="str">
        <f t="shared" si="12"/>
        <v>vložený s tlumením clip 110°</v>
      </c>
      <c r="C353">
        <v>225</v>
      </c>
      <c r="O353" s="12" t="s">
        <v>1060</v>
      </c>
      <c r="P353" t="s">
        <v>1270</v>
      </c>
      <c r="Q353" t="s">
        <v>1271</v>
      </c>
      <c r="R353" t="s">
        <v>1561</v>
      </c>
      <c r="S353" s="111" t="s">
        <v>1913</v>
      </c>
    </row>
    <row r="354" spans="1:19">
      <c r="A354">
        <v>12052</v>
      </c>
      <c r="B354" s="254" t="str">
        <f t="shared" si="12"/>
        <v>naložený bez tlumení clip 110°</v>
      </c>
      <c r="C354">
        <v>226</v>
      </c>
      <c r="O354" s="12" t="s">
        <v>1061</v>
      </c>
      <c r="P354" t="s">
        <v>1272</v>
      </c>
      <c r="Q354" t="s">
        <v>1273</v>
      </c>
      <c r="R354" t="s">
        <v>1541</v>
      </c>
      <c r="S354" s="111" t="s">
        <v>1914</v>
      </c>
    </row>
    <row r="355" spans="1:19">
      <c r="A355">
        <v>12053</v>
      </c>
      <c r="B355" s="254" t="str">
        <f t="shared" si="12"/>
        <v>polonaložený bez tlumení clip 110°</v>
      </c>
      <c r="C355">
        <v>227</v>
      </c>
      <c r="O355" s="12" t="s">
        <v>1062</v>
      </c>
      <c r="P355" t="s">
        <v>1274</v>
      </c>
      <c r="Q355" t="s">
        <v>1275</v>
      </c>
      <c r="R355" t="s">
        <v>1542</v>
      </c>
      <c r="S355" s="111" t="s">
        <v>1915</v>
      </c>
    </row>
    <row r="356" spans="1:19">
      <c r="A356">
        <v>12059</v>
      </c>
      <c r="B356" s="254" t="str">
        <f t="shared" si="12"/>
        <v>vložený bez tlumení clip 110°</v>
      </c>
      <c r="C356">
        <v>228</v>
      </c>
      <c r="O356" s="12" t="s">
        <v>1063</v>
      </c>
      <c r="P356" t="s">
        <v>1276</v>
      </c>
      <c r="Q356" t="s">
        <v>1277</v>
      </c>
      <c r="R356" t="s">
        <v>1562</v>
      </c>
      <c r="S356" s="111" t="s">
        <v>1916</v>
      </c>
    </row>
    <row r="357" spans="1:19">
      <c r="A357">
        <v>226668</v>
      </c>
      <c r="B357" s="254" t="str">
        <f t="shared" si="12"/>
        <v>naložený TIP-ON clip 110°</v>
      </c>
      <c r="C357">
        <v>229</v>
      </c>
      <c r="O357" s="12" t="s">
        <v>1064</v>
      </c>
      <c r="P357" t="s">
        <v>1064</v>
      </c>
      <c r="Q357" t="s">
        <v>1278</v>
      </c>
      <c r="R357" t="s">
        <v>1543</v>
      </c>
      <c r="S357" s="111" t="s">
        <v>1917</v>
      </c>
    </row>
    <row r="358" spans="1:19">
      <c r="A358">
        <v>226670</v>
      </c>
      <c r="B358" s="254" t="str">
        <f t="shared" si="12"/>
        <v>polonaložený TIP-ON clip 110°</v>
      </c>
      <c r="C358">
        <v>230</v>
      </c>
      <c r="O358" s="12" t="s">
        <v>1065</v>
      </c>
      <c r="P358" t="s">
        <v>1065</v>
      </c>
      <c r="Q358" t="s">
        <v>1279</v>
      </c>
      <c r="R358" t="s">
        <v>1544</v>
      </c>
      <c r="S358" s="111" t="s">
        <v>1918</v>
      </c>
    </row>
    <row r="359" spans="1:19">
      <c r="A359">
        <v>226671</v>
      </c>
      <c r="B359" s="254" t="str">
        <f t="shared" si="12"/>
        <v>vložený TIP-ON clip 110°</v>
      </c>
      <c r="C359">
        <v>231</v>
      </c>
      <c r="O359" s="12" t="s">
        <v>1066</v>
      </c>
      <c r="P359" t="s">
        <v>1066</v>
      </c>
      <c r="Q359" t="s">
        <v>1280</v>
      </c>
      <c r="R359" t="s">
        <v>1563</v>
      </c>
      <c r="S359" s="111" t="s">
        <v>1919</v>
      </c>
    </row>
    <row r="360" spans="1:19">
      <c r="A360">
        <v>12106</v>
      </c>
      <c r="B360" s="254" t="str">
        <f t="shared" si="12"/>
        <v>naložený clip</v>
      </c>
      <c r="C360">
        <v>232</v>
      </c>
      <c r="O360" s="12" t="s">
        <v>1186</v>
      </c>
      <c r="P360" t="s">
        <v>121</v>
      </c>
      <c r="Q360" t="s">
        <v>481</v>
      </c>
      <c r="R360" t="s">
        <v>557</v>
      </c>
      <c r="S360" s="111" t="s">
        <v>1775</v>
      </c>
    </row>
    <row r="361" spans="1:19">
      <c r="A361">
        <v>12107</v>
      </c>
      <c r="B361" s="254" t="str">
        <f t="shared" si="12"/>
        <v>polonaložený clip</v>
      </c>
      <c r="C361">
        <v>233</v>
      </c>
      <c r="O361" s="12" t="s">
        <v>1187</v>
      </c>
      <c r="P361" t="s">
        <v>122</v>
      </c>
      <c r="Q361" t="s">
        <v>482</v>
      </c>
      <c r="R361" t="s">
        <v>558</v>
      </c>
      <c r="S361" s="111" t="s">
        <v>1776</v>
      </c>
    </row>
    <row r="362" spans="1:19">
      <c r="A362">
        <v>12108</v>
      </c>
      <c r="B362" s="254" t="str">
        <f t="shared" si="12"/>
        <v>Vložený clip</v>
      </c>
      <c r="C362">
        <v>234</v>
      </c>
      <c r="O362" s="12" t="s">
        <v>123</v>
      </c>
      <c r="P362" t="s">
        <v>123</v>
      </c>
      <c r="Q362" t="s">
        <v>483</v>
      </c>
      <c r="R362" t="s">
        <v>559</v>
      </c>
      <c r="S362" s="111" t="s">
        <v>1777</v>
      </c>
    </row>
    <row r="363" spans="1:19">
      <c r="A363">
        <v>118033</v>
      </c>
      <c r="B363" s="254" t="str">
        <f t="shared" si="12"/>
        <v>naložený s tlumením clip 95°</v>
      </c>
      <c r="C363">
        <v>235</v>
      </c>
      <c r="O363" s="12" t="s">
        <v>1068</v>
      </c>
      <c r="P363" t="s">
        <v>1281</v>
      </c>
      <c r="Q363" t="s">
        <v>1282</v>
      </c>
      <c r="R363" t="s">
        <v>1545</v>
      </c>
      <c r="S363" s="111" t="s">
        <v>1920</v>
      </c>
    </row>
    <row r="364" spans="1:19">
      <c r="A364">
        <v>118120</v>
      </c>
      <c r="B364" s="254" t="str">
        <f t="shared" si="12"/>
        <v>polonaložený s tlumením clip 95°</v>
      </c>
      <c r="C364">
        <v>236</v>
      </c>
      <c r="O364" s="12" t="s">
        <v>1069</v>
      </c>
      <c r="P364" t="s">
        <v>1283</v>
      </c>
      <c r="Q364" t="s">
        <v>1284</v>
      </c>
      <c r="R364" t="s">
        <v>1546</v>
      </c>
      <c r="S364" s="111" t="s">
        <v>1921</v>
      </c>
    </row>
    <row r="365" spans="1:19">
      <c r="A365">
        <v>118121</v>
      </c>
      <c r="B365" s="254" t="str">
        <f t="shared" si="12"/>
        <v>vložený s tlumením clip 95°</v>
      </c>
      <c r="C365">
        <v>237</v>
      </c>
      <c r="O365" s="12" t="s">
        <v>1070</v>
      </c>
      <c r="P365" t="s">
        <v>1285</v>
      </c>
      <c r="Q365" t="s">
        <v>1286</v>
      </c>
      <c r="R365" t="s">
        <v>1564</v>
      </c>
      <c r="S365" s="111" t="s">
        <v>1922</v>
      </c>
    </row>
    <row r="366" spans="1:19">
      <c r="A366">
        <v>12109</v>
      </c>
      <c r="B366" s="254" t="str">
        <f t="shared" si="12"/>
        <v>naložený TIP-ON clip 95°</v>
      </c>
      <c r="C366">
        <v>238</v>
      </c>
      <c r="O366" s="12" t="s">
        <v>1071</v>
      </c>
      <c r="P366" t="s">
        <v>1071</v>
      </c>
      <c r="Q366" t="s">
        <v>1287</v>
      </c>
      <c r="R366" t="s">
        <v>1547</v>
      </c>
      <c r="S366" s="111" t="s">
        <v>1923</v>
      </c>
    </row>
    <row r="367" spans="1:19">
      <c r="A367">
        <v>13764</v>
      </c>
      <c r="B367" s="254" t="str">
        <f t="shared" si="12"/>
        <v>naložený TIP-ON clip 120°</v>
      </c>
      <c r="C367">
        <v>239</v>
      </c>
      <c r="O367" s="12" t="s">
        <v>1072</v>
      </c>
      <c r="P367" t="s">
        <v>1072</v>
      </c>
      <c r="Q367" t="s">
        <v>1288</v>
      </c>
      <c r="R367" t="s">
        <v>1548</v>
      </c>
      <c r="S367" s="111" t="s">
        <v>1924</v>
      </c>
    </row>
    <row r="368" spans="1:19">
      <c r="A368">
        <v>12318</v>
      </c>
      <c r="B368" s="254" t="str">
        <f t="shared" si="12"/>
        <v>Clip na eurošroub</v>
      </c>
      <c r="C368">
        <v>240</v>
      </c>
      <c r="O368" s="12" t="s">
        <v>208</v>
      </c>
      <c r="P368" t="s">
        <v>437</v>
      </c>
      <c r="Q368" t="s">
        <v>503</v>
      </c>
      <c r="R368" t="s">
        <v>579</v>
      </c>
      <c r="S368" s="111" t="s">
        <v>1799</v>
      </c>
    </row>
    <row r="369" spans="1:19">
      <c r="A369">
        <v>12306</v>
      </c>
      <c r="B369" s="254" t="str">
        <f t="shared" si="12"/>
        <v>Clip na vrut</v>
      </c>
      <c r="C369">
        <v>241</v>
      </c>
      <c r="O369" s="12" t="s">
        <v>207</v>
      </c>
      <c r="P369" t="s">
        <v>438</v>
      </c>
      <c r="Q369" t="s">
        <v>504</v>
      </c>
      <c r="R369" t="s">
        <v>580</v>
      </c>
      <c r="S369" s="111" t="s">
        <v>1800</v>
      </c>
    </row>
    <row r="370" spans="1:19">
      <c r="A370">
        <v>12319</v>
      </c>
      <c r="B370" s="254" t="str">
        <f t="shared" si="12"/>
        <v xml:space="preserve">Zvýšená o 6 mm </v>
      </c>
      <c r="C370">
        <v>242</v>
      </c>
      <c r="O370" s="12" t="s">
        <v>209</v>
      </c>
      <c r="P370" t="s">
        <v>439</v>
      </c>
      <c r="Q370" t="s">
        <v>505</v>
      </c>
      <c r="R370" t="s">
        <v>581</v>
      </c>
      <c r="S370" s="111" t="s">
        <v>1801</v>
      </c>
    </row>
    <row r="371" spans="1:19">
      <c r="A371">
        <v>92580</v>
      </c>
      <c r="B371" s="254" t="str">
        <f t="shared" si="12"/>
        <v>naložený k nasunutí</v>
      </c>
      <c r="C371">
        <v>243</v>
      </c>
      <c r="O371" t="s">
        <v>1163</v>
      </c>
      <c r="P371" t="s">
        <v>1289</v>
      </c>
      <c r="Q371" t="s">
        <v>1290</v>
      </c>
      <c r="R371" t="s">
        <v>1291</v>
      </c>
      <c r="S371" s="111" t="s">
        <v>1925</v>
      </c>
    </row>
    <row r="372" spans="1:19">
      <c r="A372">
        <v>92582</v>
      </c>
      <c r="B372" s="254" t="str">
        <f t="shared" si="12"/>
        <v>polonaložený k nasunutí</v>
      </c>
      <c r="C372">
        <v>244</v>
      </c>
      <c r="O372" t="s">
        <v>1164</v>
      </c>
      <c r="P372" t="s">
        <v>1292</v>
      </c>
      <c r="Q372" t="s">
        <v>1293</v>
      </c>
      <c r="R372" t="s">
        <v>1294</v>
      </c>
      <c r="S372" s="111" t="s">
        <v>1926</v>
      </c>
    </row>
    <row r="373" spans="1:19">
      <c r="A373">
        <v>92583</v>
      </c>
      <c r="B373" s="254" t="str">
        <f t="shared" si="12"/>
        <v>vložený k nasunutí</v>
      </c>
      <c r="C373">
        <v>245</v>
      </c>
      <c r="O373" t="s">
        <v>1165</v>
      </c>
      <c r="P373" t="s">
        <v>1295</v>
      </c>
      <c r="Q373" t="s">
        <v>1296</v>
      </c>
      <c r="R373" t="s">
        <v>1297</v>
      </c>
      <c r="S373" s="111" t="s">
        <v>1927</v>
      </c>
    </row>
    <row r="374" spans="1:19">
      <c r="A374" t="s">
        <v>1079</v>
      </c>
      <c r="B374" s="254" t="str">
        <f t="shared" si="12"/>
        <v>STRONG 30N bílý Automatický</v>
      </c>
      <c r="C374">
        <v>246</v>
      </c>
      <c r="O374" t="s">
        <v>1080</v>
      </c>
      <c r="P374" t="s">
        <v>1298</v>
      </c>
      <c r="Q374" t="s">
        <v>1299</v>
      </c>
      <c r="R374" t="s">
        <v>1300</v>
      </c>
      <c r="S374" s="111" t="s">
        <v>1928</v>
      </c>
    </row>
    <row r="375" spans="1:19">
      <c r="A375" t="s">
        <v>1081</v>
      </c>
      <c r="B375" s="254" t="str">
        <f t="shared" si="12"/>
        <v>STRONG 60N bílý Automatický</v>
      </c>
      <c r="C375">
        <v>247</v>
      </c>
      <c r="O375" t="s">
        <v>1082</v>
      </c>
      <c r="P375" t="s">
        <v>1301</v>
      </c>
      <c r="Q375" t="s">
        <v>1302</v>
      </c>
      <c r="R375" t="s">
        <v>1303</v>
      </c>
      <c r="S375" s="111" t="s">
        <v>1929</v>
      </c>
    </row>
    <row r="376" spans="1:19">
      <c r="A376" t="s">
        <v>1083</v>
      </c>
      <c r="B376" s="254" t="str">
        <f t="shared" si="12"/>
        <v>STRONG 80N bílý Automatický</v>
      </c>
      <c r="C376">
        <v>248</v>
      </c>
      <c r="O376" t="s">
        <v>1084</v>
      </c>
      <c r="P376" t="s">
        <v>1304</v>
      </c>
      <c r="Q376" t="s">
        <v>1305</v>
      </c>
      <c r="R376" t="s">
        <v>1306</v>
      </c>
      <c r="S376" s="111" t="s">
        <v>1930</v>
      </c>
    </row>
    <row r="377" spans="1:19">
      <c r="A377" t="s">
        <v>1085</v>
      </c>
      <c r="B377" s="254" t="str">
        <f t="shared" si="12"/>
        <v>STRONG 100N bílý Automatický</v>
      </c>
      <c r="C377">
        <v>249</v>
      </c>
      <c r="O377" t="s">
        <v>1086</v>
      </c>
      <c r="P377" t="s">
        <v>1307</v>
      </c>
      <c r="Q377" t="s">
        <v>1308</v>
      </c>
      <c r="R377" t="s">
        <v>1309</v>
      </c>
      <c r="S377" s="111" t="s">
        <v>1931</v>
      </c>
    </row>
    <row r="378" spans="1:19">
      <c r="A378" t="s">
        <v>1087</v>
      </c>
      <c r="B378" s="254" t="str">
        <f t="shared" si="12"/>
        <v>STRONG 120N bílý Automatický</v>
      </c>
      <c r="C378">
        <v>250</v>
      </c>
      <c r="O378" t="s">
        <v>1088</v>
      </c>
      <c r="P378" t="s">
        <v>1310</v>
      </c>
      <c r="Q378" t="s">
        <v>1311</v>
      </c>
      <c r="R378" t="s">
        <v>1312</v>
      </c>
      <c r="S378" s="111" t="s">
        <v>1932</v>
      </c>
    </row>
    <row r="379" spans="1:19">
      <c r="A379" t="s">
        <v>1089</v>
      </c>
      <c r="B379" s="254" t="str">
        <f t="shared" si="12"/>
        <v>STRONG 60N bílý Polohovací</v>
      </c>
      <c r="C379">
        <v>251</v>
      </c>
      <c r="O379" t="s">
        <v>1090</v>
      </c>
      <c r="P379" t="s">
        <v>1313</v>
      </c>
      <c r="Q379" t="s">
        <v>1314</v>
      </c>
      <c r="R379" t="s">
        <v>1315</v>
      </c>
      <c r="S379" s="111" t="s">
        <v>1933</v>
      </c>
    </row>
    <row r="380" spans="1:19">
      <c r="A380" t="s">
        <v>1091</v>
      </c>
      <c r="B380" s="254" t="str">
        <f t="shared" si="12"/>
        <v>STRONG 80N bílý Polohovací</v>
      </c>
      <c r="C380">
        <v>252</v>
      </c>
      <c r="O380" t="s">
        <v>1092</v>
      </c>
      <c r="P380" t="s">
        <v>1316</v>
      </c>
      <c r="Q380" t="s">
        <v>1317</v>
      </c>
      <c r="R380" t="s">
        <v>1318</v>
      </c>
      <c r="S380" s="111" t="s">
        <v>1934</v>
      </c>
    </row>
    <row r="381" spans="1:19">
      <c r="A381" t="s">
        <v>1093</v>
      </c>
      <c r="B381" s="254" t="str">
        <f t="shared" si="12"/>
        <v>STRONG 100N bílý Polohovací</v>
      </c>
      <c r="C381">
        <v>253</v>
      </c>
      <c r="O381" t="s">
        <v>1094</v>
      </c>
      <c r="P381" t="s">
        <v>1319</v>
      </c>
      <c r="Q381" t="s">
        <v>1320</v>
      </c>
      <c r="R381" t="s">
        <v>1321</v>
      </c>
      <c r="S381" s="111" t="s">
        <v>1935</v>
      </c>
    </row>
    <row r="382" spans="1:19">
      <c r="A382" t="s">
        <v>1095</v>
      </c>
      <c r="B382" s="254" t="str">
        <f t="shared" si="12"/>
        <v>STRONG 120N bílý Polohovací</v>
      </c>
      <c r="C382">
        <v>254</v>
      </c>
      <c r="O382" t="s">
        <v>1096</v>
      </c>
      <c r="P382" t="s">
        <v>1322</v>
      </c>
      <c r="Q382" t="s">
        <v>1323</v>
      </c>
      <c r="R382" t="s">
        <v>1324</v>
      </c>
      <c r="S382" s="111" t="s">
        <v>1936</v>
      </c>
    </row>
    <row r="383" spans="1:19">
      <c r="A383" t="s">
        <v>1097</v>
      </c>
      <c r="B383" s="254" t="str">
        <f t="shared" si="12"/>
        <v>STRONG 30N šedý Automatický</v>
      </c>
      <c r="C383">
        <v>255</v>
      </c>
      <c r="O383" t="s">
        <v>1098</v>
      </c>
      <c r="P383" t="s">
        <v>1098</v>
      </c>
      <c r="Q383" t="s">
        <v>1325</v>
      </c>
      <c r="R383" t="s">
        <v>1326</v>
      </c>
      <c r="S383" s="111" t="s">
        <v>1937</v>
      </c>
    </row>
    <row r="384" spans="1:19">
      <c r="A384" t="s">
        <v>1099</v>
      </c>
      <c r="B384" s="254" t="str">
        <f t="shared" si="12"/>
        <v>STRONG 60N šedý Automatický</v>
      </c>
      <c r="C384">
        <v>256</v>
      </c>
      <c r="O384" t="s">
        <v>1100</v>
      </c>
      <c r="P384" t="s">
        <v>1100</v>
      </c>
      <c r="Q384" t="s">
        <v>1327</v>
      </c>
      <c r="R384" t="s">
        <v>1328</v>
      </c>
      <c r="S384" s="111" t="s">
        <v>1938</v>
      </c>
    </row>
    <row r="385" spans="1:19">
      <c r="A385" t="s">
        <v>1101</v>
      </c>
      <c r="B385" s="254" t="str">
        <f t="shared" ref="B385:B448" si="13">IF($D$1=1,O:O,IF($D$1=2,P:P,IF($D$1=3,Q:Q,IF($D$1=4,R:R,IF($D$1=5,S:S)))))</f>
        <v>STRONG 80N šedý Automatický</v>
      </c>
      <c r="C385">
        <v>257</v>
      </c>
      <c r="O385" t="s">
        <v>1102</v>
      </c>
      <c r="P385" t="s">
        <v>1102</v>
      </c>
      <c r="Q385" t="s">
        <v>1329</v>
      </c>
      <c r="R385" t="s">
        <v>1330</v>
      </c>
      <c r="S385" s="111" t="s">
        <v>1939</v>
      </c>
    </row>
    <row r="386" spans="1:19">
      <c r="A386" t="s">
        <v>1103</v>
      </c>
      <c r="B386" s="254" t="str">
        <f t="shared" si="13"/>
        <v>STRONG 100N šedý Automatický</v>
      </c>
      <c r="C386">
        <v>258</v>
      </c>
      <c r="O386" t="s">
        <v>1104</v>
      </c>
      <c r="P386" t="s">
        <v>1104</v>
      </c>
      <c r="Q386" t="s">
        <v>1331</v>
      </c>
      <c r="R386" t="s">
        <v>1332</v>
      </c>
      <c r="S386" s="111" t="s">
        <v>1940</v>
      </c>
    </row>
    <row r="387" spans="1:19">
      <c r="A387" t="s">
        <v>1105</v>
      </c>
      <c r="B387" s="254" t="str">
        <f t="shared" si="13"/>
        <v>STRONG 120N šedý Automatický</v>
      </c>
      <c r="C387">
        <v>259</v>
      </c>
      <c r="O387" t="s">
        <v>1106</v>
      </c>
      <c r="P387" t="s">
        <v>1106</v>
      </c>
      <c r="Q387" t="s">
        <v>1333</v>
      </c>
      <c r="R387" t="s">
        <v>1334</v>
      </c>
      <c r="S387" s="111" t="s">
        <v>1941</v>
      </c>
    </row>
    <row r="388" spans="1:19">
      <c r="A388" t="s">
        <v>1107</v>
      </c>
      <c r="B388" s="254" t="str">
        <f t="shared" si="13"/>
        <v>STRONG 60N šedý Polohovací</v>
      </c>
      <c r="C388">
        <v>260</v>
      </c>
      <c r="O388" t="s">
        <v>1108</v>
      </c>
      <c r="P388" t="s">
        <v>1108</v>
      </c>
      <c r="Q388" t="s">
        <v>1335</v>
      </c>
      <c r="R388" t="s">
        <v>1336</v>
      </c>
      <c r="S388" s="111" t="s">
        <v>1942</v>
      </c>
    </row>
    <row r="389" spans="1:19">
      <c r="A389" t="s">
        <v>1109</v>
      </c>
      <c r="B389" s="254" t="str">
        <f t="shared" si="13"/>
        <v>STRONG 80N šedý Polohovací</v>
      </c>
      <c r="C389">
        <v>261</v>
      </c>
      <c r="O389" t="s">
        <v>1110</v>
      </c>
      <c r="P389" t="s">
        <v>1110</v>
      </c>
      <c r="Q389" t="s">
        <v>1337</v>
      </c>
      <c r="R389" t="s">
        <v>1338</v>
      </c>
      <c r="S389" s="111" t="s">
        <v>1943</v>
      </c>
    </row>
    <row r="390" spans="1:19">
      <c r="A390" t="s">
        <v>1111</v>
      </c>
      <c r="B390" s="254" t="str">
        <f t="shared" si="13"/>
        <v>STRONG 100N šedý Polohovací</v>
      </c>
      <c r="C390">
        <v>262</v>
      </c>
      <c r="O390" t="s">
        <v>1112</v>
      </c>
      <c r="P390" t="s">
        <v>1112</v>
      </c>
      <c r="Q390" t="s">
        <v>1339</v>
      </c>
      <c r="R390" t="s">
        <v>1340</v>
      </c>
      <c r="S390" s="111" t="s">
        <v>1944</v>
      </c>
    </row>
    <row r="391" spans="1:19">
      <c r="A391" t="s">
        <v>1113</v>
      </c>
      <c r="B391" s="254" t="str">
        <f t="shared" si="13"/>
        <v>STRONG 120N šedý Polohovací</v>
      </c>
      <c r="C391">
        <v>263</v>
      </c>
      <c r="O391" t="s">
        <v>1114</v>
      </c>
      <c r="P391" t="s">
        <v>1114</v>
      </c>
      <c r="Q391" t="s">
        <v>1341</v>
      </c>
      <c r="R391" t="s">
        <v>1342</v>
      </c>
      <c r="S391" s="111" t="s">
        <v>1945</v>
      </c>
    </row>
    <row r="392" spans="1:19">
      <c r="A392" t="s">
        <v>1115</v>
      </c>
      <c r="B392" s="254" t="str">
        <f t="shared" si="13"/>
        <v>HUWIL DUO</v>
      </c>
      <c r="C392">
        <v>264</v>
      </c>
      <c r="O392" t="s">
        <v>1116</v>
      </c>
      <c r="P392" t="s">
        <v>1116</v>
      </c>
      <c r="Q392" t="s">
        <v>1116</v>
      </c>
      <c r="R392" t="s">
        <v>1116</v>
      </c>
      <c r="S392" s="111" t="s">
        <v>1116</v>
      </c>
    </row>
    <row r="393" spans="1:19">
      <c r="A393" t="s">
        <v>1117</v>
      </c>
      <c r="B393" s="254" t="str">
        <f t="shared" si="13"/>
        <v>HUWIL DUO FORTE</v>
      </c>
      <c r="C393">
        <v>265</v>
      </c>
      <c r="O393" t="s">
        <v>1118</v>
      </c>
      <c r="P393" t="s">
        <v>1118</v>
      </c>
      <c r="Q393" t="s">
        <v>1118</v>
      </c>
      <c r="R393" t="s">
        <v>1118</v>
      </c>
      <c r="S393" s="111" t="s">
        <v>1118</v>
      </c>
    </row>
    <row r="394" spans="1:19">
      <c r="A394" t="s">
        <v>1119</v>
      </c>
      <c r="B394" s="254" t="str">
        <f t="shared" si="13"/>
        <v>HUWILIFT MAXI</v>
      </c>
      <c r="C394">
        <v>266</v>
      </c>
      <c r="O394" t="s">
        <v>1120</v>
      </c>
      <c r="P394" t="s">
        <v>1120</v>
      </c>
      <c r="Q394" t="s">
        <v>1120</v>
      </c>
      <c r="R394" t="s">
        <v>1120</v>
      </c>
      <c r="S394" s="111" t="s">
        <v>1120</v>
      </c>
    </row>
    <row r="395" spans="1:19">
      <c r="A395" t="s">
        <v>1121</v>
      </c>
      <c r="B395" s="254" t="str">
        <f t="shared" si="13"/>
        <v>KRABY 164 45N</v>
      </c>
      <c r="C395">
        <v>267</v>
      </c>
      <c r="O395" t="s">
        <v>749</v>
      </c>
      <c r="P395" t="s">
        <v>749</v>
      </c>
      <c r="Q395" t="s">
        <v>749</v>
      </c>
      <c r="R395" t="s">
        <v>749</v>
      </c>
      <c r="S395" s="111" t="s">
        <v>749</v>
      </c>
    </row>
    <row r="396" spans="1:19">
      <c r="A396" t="s">
        <v>1122</v>
      </c>
      <c r="B396" s="254" t="str">
        <f t="shared" si="13"/>
        <v>KRABY 164 60N</v>
      </c>
      <c r="C396">
        <v>268</v>
      </c>
      <c r="O396" t="s">
        <v>750</v>
      </c>
      <c r="P396" t="s">
        <v>750</v>
      </c>
      <c r="Q396" t="s">
        <v>750</v>
      </c>
      <c r="R396" t="s">
        <v>750</v>
      </c>
      <c r="S396" s="111" t="s">
        <v>750</v>
      </c>
    </row>
    <row r="397" spans="1:19">
      <c r="A397" t="s">
        <v>1123</v>
      </c>
      <c r="B397" s="254" t="str">
        <f t="shared" si="13"/>
        <v>KRABY 244 45N</v>
      </c>
      <c r="C397">
        <v>269</v>
      </c>
      <c r="O397" t="s">
        <v>751</v>
      </c>
      <c r="P397" t="s">
        <v>751</v>
      </c>
      <c r="Q397" t="s">
        <v>751</v>
      </c>
      <c r="R397" t="s">
        <v>751</v>
      </c>
      <c r="S397" s="111" t="s">
        <v>751</v>
      </c>
    </row>
    <row r="398" spans="1:19">
      <c r="A398" t="s">
        <v>1124</v>
      </c>
      <c r="B398" s="254" t="str">
        <f t="shared" si="13"/>
        <v>KRABY 244 60N</v>
      </c>
      <c r="C398">
        <v>270</v>
      </c>
      <c r="O398" t="s">
        <v>752</v>
      </c>
      <c r="P398" t="s">
        <v>752</v>
      </c>
      <c r="Q398" t="s">
        <v>752</v>
      </c>
      <c r="R398" t="s">
        <v>752</v>
      </c>
      <c r="S398" s="111" t="s">
        <v>752</v>
      </c>
    </row>
    <row r="399" spans="1:19">
      <c r="A399" t="s">
        <v>1125</v>
      </c>
      <c r="B399" s="254" t="str">
        <f t="shared" si="13"/>
        <v>KRABY 244 90N</v>
      </c>
      <c r="C399">
        <v>271</v>
      </c>
      <c r="O399" t="s">
        <v>753</v>
      </c>
      <c r="P399" t="s">
        <v>753</v>
      </c>
      <c r="Q399" t="s">
        <v>753</v>
      </c>
      <c r="R399" t="s">
        <v>753</v>
      </c>
      <c r="S399" s="111" t="s">
        <v>753</v>
      </c>
    </row>
    <row r="400" spans="1:19">
      <c r="A400" t="s">
        <v>1126</v>
      </c>
      <c r="B400" s="254" t="str">
        <f t="shared" si="13"/>
        <v>KRABY 244 120N</v>
      </c>
      <c r="C400">
        <v>272</v>
      </c>
      <c r="O400" t="s">
        <v>754</v>
      </c>
      <c r="P400" t="s">
        <v>754</v>
      </c>
      <c r="Q400" t="s">
        <v>754</v>
      </c>
      <c r="R400" t="s">
        <v>754</v>
      </c>
      <c r="S400" s="111" t="s">
        <v>754</v>
      </c>
    </row>
    <row r="401" spans="1:19">
      <c r="A401" t="s">
        <v>1127</v>
      </c>
      <c r="B401" s="254" t="str">
        <f t="shared" si="13"/>
        <v>KRABY 355 45N</v>
      </c>
      <c r="C401">
        <v>273</v>
      </c>
      <c r="O401" t="s">
        <v>755</v>
      </c>
      <c r="P401" t="s">
        <v>755</v>
      </c>
      <c r="Q401" t="s">
        <v>755</v>
      </c>
      <c r="R401" t="s">
        <v>755</v>
      </c>
      <c r="S401" s="111" t="s">
        <v>755</v>
      </c>
    </row>
    <row r="402" spans="1:19">
      <c r="A402" t="s">
        <v>1128</v>
      </c>
      <c r="B402" s="254" t="str">
        <f t="shared" si="13"/>
        <v>KRABY 355 60N</v>
      </c>
      <c r="C402">
        <v>274</v>
      </c>
      <c r="O402" t="s">
        <v>756</v>
      </c>
      <c r="P402" t="s">
        <v>756</v>
      </c>
      <c r="Q402" t="s">
        <v>756</v>
      </c>
      <c r="R402" t="s">
        <v>756</v>
      </c>
      <c r="S402" s="111" t="s">
        <v>756</v>
      </c>
    </row>
    <row r="403" spans="1:19">
      <c r="A403" t="s">
        <v>1129</v>
      </c>
      <c r="B403" s="254" t="str">
        <f t="shared" si="13"/>
        <v>KRABY 355 90N</v>
      </c>
      <c r="C403">
        <v>275</v>
      </c>
      <c r="O403" t="s">
        <v>757</v>
      </c>
      <c r="P403" t="s">
        <v>757</v>
      </c>
      <c r="Q403" t="s">
        <v>757</v>
      </c>
      <c r="R403" t="s">
        <v>757</v>
      </c>
      <c r="S403" s="111" t="s">
        <v>757</v>
      </c>
    </row>
    <row r="404" spans="1:19">
      <c r="A404" t="s">
        <v>1130</v>
      </c>
      <c r="B404" s="254" t="str">
        <f t="shared" si="13"/>
        <v>KRABY 355 120N</v>
      </c>
      <c r="C404">
        <v>276</v>
      </c>
      <c r="O404" t="s">
        <v>758</v>
      </c>
      <c r="P404" t="s">
        <v>758</v>
      </c>
      <c r="Q404" t="s">
        <v>758</v>
      </c>
      <c r="R404" t="s">
        <v>758</v>
      </c>
      <c r="S404" s="111" t="s">
        <v>758</v>
      </c>
    </row>
    <row r="405" spans="1:19">
      <c r="A405" t="s">
        <v>1131</v>
      </c>
      <c r="B405" s="254" t="str">
        <f t="shared" si="13"/>
        <v>K12 244 50N</v>
      </c>
      <c r="C405">
        <v>277</v>
      </c>
      <c r="O405" t="s">
        <v>1132</v>
      </c>
      <c r="P405" t="s">
        <v>1132</v>
      </c>
      <c r="Q405" t="s">
        <v>1132</v>
      </c>
      <c r="R405" t="s">
        <v>1132</v>
      </c>
      <c r="S405" s="111" t="s">
        <v>1132</v>
      </c>
    </row>
    <row r="406" spans="1:19">
      <c r="A406" t="s">
        <v>1133</v>
      </c>
      <c r="B406" s="254" t="str">
        <f t="shared" si="13"/>
        <v>K12 244 80N</v>
      </c>
      <c r="C406">
        <v>278</v>
      </c>
      <c r="O406" t="s">
        <v>1134</v>
      </c>
      <c r="P406" t="s">
        <v>1134</v>
      </c>
      <c r="Q406" t="s">
        <v>1134</v>
      </c>
      <c r="R406" t="s">
        <v>1134</v>
      </c>
      <c r="S406" s="111" t="s">
        <v>1134</v>
      </c>
    </row>
    <row r="407" spans="1:19">
      <c r="A407" t="s">
        <v>1135</v>
      </c>
      <c r="B407" s="254" t="str">
        <f t="shared" si="13"/>
        <v>K12 244 100N</v>
      </c>
      <c r="C407">
        <v>279</v>
      </c>
      <c r="O407" t="s">
        <v>1136</v>
      </c>
      <c r="P407" t="s">
        <v>1136</v>
      </c>
      <c r="Q407" t="s">
        <v>1136</v>
      </c>
      <c r="R407" t="s">
        <v>1136</v>
      </c>
      <c r="S407" s="111" t="s">
        <v>1136</v>
      </c>
    </row>
    <row r="408" spans="1:19">
      <c r="A408" t="s">
        <v>1137</v>
      </c>
      <c r="B408" s="254" t="str">
        <f t="shared" si="13"/>
        <v>K12 244 120N</v>
      </c>
      <c r="C408">
        <v>280</v>
      </c>
      <c r="O408" t="s">
        <v>1138</v>
      </c>
      <c r="P408" t="s">
        <v>1138</v>
      </c>
      <c r="Q408" t="s">
        <v>1138</v>
      </c>
      <c r="R408" t="s">
        <v>1138</v>
      </c>
      <c r="S408" s="111" t="s">
        <v>1138</v>
      </c>
    </row>
    <row r="409" spans="1:19">
      <c r="A409" t="s">
        <v>1139</v>
      </c>
      <c r="B409" s="254" t="str">
        <f t="shared" si="13"/>
        <v>K12 355 60N</v>
      </c>
      <c r="C409">
        <v>281</v>
      </c>
      <c r="O409" t="s">
        <v>1140</v>
      </c>
      <c r="P409" t="s">
        <v>1140</v>
      </c>
      <c r="Q409" t="s">
        <v>1140</v>
      </c>
      <c r="R409" t="s">
        <v>1140</v>
      </c>
      <c r="S409" s="111" t="s">
        <v>1140</v>
      </c>
    </row>
    <row r="410" spans="1:19">
      <c r="A410" t="s">
        <v>1141</v>
      </c>
      <c r="B410" s="254" t="str">
        <f t="shared" si="13"/>
        <v>K12 355 90N</v>
      </c>
      <c r="C410">
        <v>282</v>
      </c>
      <c r="O410" t="s">
        <v>1142</v>
      </c>
      <c r="P410" t="s">
        <v>1142</v>
      </c>
      <c r="Q410" t="s">
        <v>1142</v>
      </c>
      <c r="R410" t="s">
        <v>1142</v>
      </c>
      <c r="S410" s="111" t="s">
        <v>1142</v>
      </c>
    </row>
    <row r="411" spans="1:19">
      <c r="A411" t="s">
        <v>1143</v>
      </c>
      <c r="B411" s="254" t="str">
        <f t="shared" si="13"/>
        <v>K12 355 110N</v>
      </c>
      <c r="C411">
        <v>283</v>
      </c>
      <c r="O411" t="s">
        <v>1144</v>
      </c>
      <c r="P411" t="s">
        <v>1144</v>
      </c>
      <c r="Q411" t="s">
        <v>1144</v>
      </c>
      <c r="R411" t="s">
        <v>1144</v>
      </c>
      <c r="S411" s="111" t="s">
        <v>1144</v>
      </c>
    </row>
    <row r="412" spans="1:19">
      <c r="A412" t="s">
        <v>1145</v>
      </c>
      <c r="B412" s="254" t="str">
        <f t="shared" si="13"/>
        <v>K12 355 130N</v>
      </c>
      <c r="C412">
        <v>284</v>
      </c>
      <c r="O412" t="s">
        <v>1146</v>
      </c>
      <c r="P412" t="s">
        <v>1146</v>
      </c>
      <c r="Q412" t="s">
        <v>1146</v>
      </c>
      <c r="R412" t="s">
        <v>1146</v>
      </c>
      <c r="S412" s="111" t="s">
        <v>1146</v>
      </c>
    </row>
    <row r="413" spans="1:19">
      <c r="A413" t="s">
        <v>1147</v>
      </c>
      <c r="B413" s="254" t="str">
        <f t="shared" si="13"/>
        <v>STRONG spodní bílý</v>
      </c>
      <c r="C413">
        <v>285</v>
      </c>
      <c r="O413" t="s">
        <v>1148</v>
      </c>
      <c r="P413" t="s">
        <v>1343</v>
      </c>
      <c r="Q413" t="s">
        <v>1344</v>
      </c>
      <c r="R413" t="s">
        <v>1345</v>
      </c>
      <c r="S413" s="111" t="s">
        <v>1946</v>
      </c>
    </row>
    <row r="414" spans="1:19">
      <c r="A414" t="s">
        <v>1149</v>
      </c>
      <c r="B414" s="254" t="str">
        <f t="shared" si="13"/>
        <v>STRONG spodní šedý</v>
      </c>
      <c r="C414">
        <v>286</v>
      </c>
      <c r="O414" t="s">
        <v>1150</v>
      </c>
      <c r="P414" t="s">
        <v>1346</v>
      </c>
      <c r="Q414" t="s">
        <v>1347</v>
      </c>
      <c r="R414" t="s">
        <v>1348</v>
      </c>
      <c r="S414" s="111" t="s">
        <v>1947</v>
      </c>
    </row>
    <row r="415" spans="1:19">
      <c r="A415" t="s">
        <v>1151</v>
      </c>
      <c r="B415" s="254" t="str">
        <f t="shared" si="13"/>
        <v xml:space="preserve">HUWIL DUO (90°) </v>
      </c>
      <c r="C415">
        <v>287</v>
      </c>
      <c r="O415" t="s">
        <v>1152</v>
      </c>
      <c r="P415" t="s">
        <v>1152</v>
      </c>
      <c r="Q415" t="s">
        <v>1152</v>
      </c>
      <c r="R415" t="s">
        <v>1152</v>
      </c>
      <c r="S415" s="111" t="s">
        <v>1948</v>
      </c>
    </row>
    <row r="416" spans="1:19">
      <c r="A416" t="s">
        <v>1153</v>
      </c>
      <c r="B416" s="254" t="str">
        <f t="shared" si="13"/>
        <v>HUWIL DUO FORTE</v>
      </c>
      <c r="C416">
        <v>288</v>
      </c>
      <c r="O416" t="s">
        <v>1118</v>
      </c>
      <c r="P416" t="s">
        <v>1118</v>
      </c>
      <c r="Q416" t="s">
        <v>1118</v>
      </c>
      <c r="R416" t="s">
        <v>1118</v>
      </c>
      <c r="S416" s="111" t="s">
        <v>1118</v>
      </c>
    </row>
    <row r="417" spans="1:19">
      <c r="A417" t="s">
        <v>1154</v>
      </c>
      <c r="B417" s="254" t="str">
        <f t="shared" si="13"/>
        <v>KRABY 164 spodní</v>
      </c>
      <c r="C417">
        <v>289</v>
      </c>
      <c r="O417" t="s">
        <v>1155</v>
      </c>
      <c r="P417" t="s">
        <v>1349</v>
      </c>
      <c r="Q417" t="s">
        <v>1350</v>
      </c>
      <c r="R417" t="s">
        <v>1351</v>
      </c>
      <c r="S417" s="111" t="s">
        <v>1949</v>
      </c>
    </row>
    <row r="418" spans="1:19">
      <c r="A418" t="s">
        <v>1156</v>
      </c>
      <c r="B418" s="254" t="str">
        <f t="shared" si="13"/>
        <v>KRABY 244 spodní</v>
      </c>
      <c r="C418">
        <v>290</v>
      </c>
      <c r="O418" t="s">
        <v>1157</v>
      </c>
      <c r="P418" t="s">
        <v>1352</v>
      </c>
      <c r="Q418" t="s">
        <v>1353</v>
      </c>
      <c r="R418" t="s">
        <v>1354</v>
      </c>
      <c r="S418" s="111" t="s">
        <v>1950</v>
      </c>
    </row>
    <row r="419" spans="1:19">
      <c r="A419" t="s">
        <v>1158</v>
      </c>
      <c r="B419" s="254" t="str">
        <f t="shared" si="13"/>
        <v>KRABY 355 spodní</v>
      </c>
      <c r="C419">
        <v>291</v>
      </c>
      <c r="O419" t="s">
        <v>1159</v>
      </c>
      <c r="P419" t="s">
        <v>1355</v>
      </c>
      <c r="Q419" t="s">
        <v>1356</v>
      </c>
      <c r="R419" t="s">
        <v>1357</v>
      </c>
      <c r="S419" s="111" t="s">
        <v>1951</v>
      </c>
    </row>
    <row r="420" spans="1:19">
      <c r="A420">
        <v>248162</v>
      </c>
      <c r="B420" s="254" t="str">
        <f t="shared" si="13"/>
        <v>STRONG 30N bílý Automatický</v>
      </c>
      <c r="C420">
        <v>292</v>
      </c>
      <c r="O420" t="s">
        <v>1080</v>
      </c>
      <c r="P420" t="s">
        <v>1298</v>
      </c>
      <c r="Q420" t="s">
        <v>1299</v>
      </c>
      <c r="R420" t="s">
        <v>1300</v>
      </c>
      <c r="S420" s="111" t="s">
        <v>1928</v>
      </c>
    </row>
    <row r="421" spans="1:19">
      <c r="A421">
        <v>248163</v>
      </c>
      <c r="B421" s="254" t="str">
        <f t="shared" si="13"/>
        <v>STRONG 60N bílý Automatický</v>
      </c>
      <c r="C421">
        <v>293</v>
      </c>
      <c r="O421" t="s">
        <v>1082</v>
      </c>
      <c r="P421" t="s">
        <v>1301</v>
      </c>
      <c r="Q421" t="s">
        <v>1302</v>
      </c>
      <c r="R421" t="s">
        <v>1303</v>
      </c>
      <c r="S421" s="111" t="s">
        <v>1929</v>
      </c>
    </row>
    <row r="422" spans="1:19">
      <c r="A422">
        <v>248164</v>
      </c>
      <c r="B422" s="254" t="str">
        <f t="shared" si="13"/>
        <v>STRONG 80N bílý Automatický</v>
      </c>
      <c r="C422">
        <v>294</v>
      </c>
      <c r="O422" t="s">
        <v>1084</v>
      </c>
      <c r="P422" t="s">
        <v>1304</v>
      </c>
      <c r="Q422" t="s">
        <v>1305</v>
      </c>
      <c r="R422" t="s">
        <v>1306</v>
      </c>
      <c r="S422" s="111" t="s">
        <v>1930</v>
      </c>
    </row>
    <row r="423" spans="1:19">
      <c r="A423">
        <v>248165</v>
      </c>
      <c r="B423" s="254" t="str">
        <f t="shared" si="13"/>
        <v>STRONG 100N bílý Automatický</v>
      </c>
      <c r="C423">
        <v>295</v>
      </c>
      <c r="O423" t="s">
        <v>1086</v>
      </c>
      <c r="P423" t="s">
        <v>1307</v>
      </c>
      <c r="Q423" t="s">
        <v>1308</v>
      </c>
      <c r="R423" t="s">
        <v>1309</v>
      </c>
      <c r="S423" s="111" t="s">
        <v>1931</v>
      </c>
    </row>
    <row r="424" spans="1:19">
      <c r="A424">
        <v>248166</v>
      </c>
      <c r="B424" s="254" t="str">
        <f t="shared" si="13"/>
        <v>STRONG 120N bílý Automatický</v>
      </c>
      <c r="C424">
        <v>296</v>
      </c>
      <c r="O424" t="s">
        <v>1088</v>
      </c>
      <c r="P424" t="s">
        <v>1310</v>
      </c>
      <c r="Q424" t="s">
        <v>1311</v>
      </c>
      <c r="R424" t="s">
        <v>1312</v>
      </c>
      <c r="S424" s="111" t="s">
        <v>1932</v>
      </c>
    </row>
    <row r="425" spans="1:19">
      <c r="A425">
        <v>284254</v>
      </c>
      <c r="B425" s="254" t="str">
        <f t="shared" si="13"/>
        <v>STRONG 60N bílý Polohovací</v>
      </c>
      <c r="C425">
        <v>297</v>
      </c>
      <c r="O425" t="s">
        <v>1090</v>
      </c>
      <c r="P425" t="s">
        <v>1313</v>
      </c>
      <c r="Q425" t="s">
        <v>1314</v>
      </c>
      <c r="R425" t="s">
        <v>1315</v>
      </c>
      <c r="S425" s="111" t="s">
        <v>1933</v>
      </c>
    </row>
    <row r="426" spans="1:19">
      <c r="A426">
        <v>284255</v>
      </c>
      <c r="B426" s="254" t="str">
        <f t="shared" si="13"/>
        <v>STRONG 80N bílý Polohovací</v>
      </c>
      <c r="C426">
        <v>298</v>
      </c>
      <c r="O426" t="s">
        <v>1092</v>
      </c>
      <c r="P426" t="s">
        <v>1316</v>
      </c>
      <c r="Q426" t="s">
        <v>1317</v>
      </c>
      <c r="R426" t="s">
        <v>1318</v>
      </c>
      <c r="S426" s="111" t="s">
        <v>1934</v>
      </c>
    </row>
    <row r="427" spans="1:19">
      <c r="A427">
        <v>284256</v>
      </c>
      <c r="B427" s="254" t="str">
        <f t="shared" si="13"/>
        <v>STRONG 100N bílý Polohovací</v>
      </c>
      <c r="C427">
        <v>299</v>
      </c>
      <c r="O427" t="s">
        <v>1094</v>
      </c>
      <c r="P427" t="s">
        <v>1319</v>
      </c>
      <c r="Q427" t="s">
        <v>1320</v>
      </c>
      <c r="R427" t="s">
        <v>1321</v>
      </c>
      <c r="S427" s="111" t="s">
        <v>1935</v>
      </c>
    </row>
    <row r="428" spans="1:19">
      <c r="A428">
        <v>284257</v>
      </c>
      <c r="B428" s="254" t="str">
        <f t="shared" si="13"/>
        <v>STRONG 120N bílý Polohovací</v>
      </c>
      <c r="C428">
        <v>300</v>
      </c>
      <c r="O428" t="s">
        <v>1096</v>
      </c>
      <c r="P428" t="s">
        <v>1322</v>
      </c>
      <c r="Q428" t="s">
        <v>1323</v>
      </c>
      <c r="R428" t="s">
        <v>1324</v>
      </c>
      <c r="S428" s="111" t="s">
        <v>1936</v>
      </c>
    </row>
    <row r="429" spans="1:19">
      <c r="A429">
        <v>275672</v>
      </c>
      <c r="B429" s="254" t="str">
        <f t="shared" si="13"/>
        <v>STRONG 30N šedý Automatický</v>
      </c>
      <c r="C429">
        <v>301</v>
      </c>
      <c r="O429" t="s">
        <v>1098</v>
      </c>
      <c r="P429" t="s">
        <v>1098</v>
      </c>
      <c r="Q429" t="s">
        <v>1325</v>
      </c>
      <c r="R429" t="s">
        <v>1326</v>
      </c>
      <c r="S429" s="111" t="s">
        <v>1937</v>
      </c>
    </row>
    <row r="430" spans="1:19">
      <c r="A430">
        <v>275673</v>
      </c>
      <c r="B430" s="254" t="str">
        <f t="shared" si="13"/>
        <v>STRONG 60N šedý Automatický</v>
      </c>
      <c r="C430">
        <v>302</v>
      </c>
      <c r="O430" t="s">
        <v>1100</v>
      </c>
      <c r="P430" t="s">
        <v>1100</v>
      </c>
      <c r="Q430" t="s">
        <v>1327</v>
      </c>
      <c r="R430" t="s">
        <v>1328</v>
      </c>
      <c r="S430" s="111" t="s">
        <v>1938</v>
      </c>
    </row>
    <row r="431" spans="1:19">
      <c r="A431">
        <v>275674</v>
      </c>
      <c r="B431" s="254" t="str">
        <f t="shared" si="13"/>
        <v>STRONG 80N šedý Automatický</v>
      </c>
      <c r="C431">
        <v>303</v>
      </c>
      <c r="O431" t="s">
        <v>1102</v>
      </c>
      <c r="P431" t="s">
        <v>1102</v>
      </c>
      <c r="Q431" t="s">
        <v>1329</v>
      </c>
      <c r="R431" t="s">
        <v>1330</v>
      </c>
      <c r="S431" s="111" t="s">
        <v>1939</v>
      </c>
    </row>
    <row r="432" spans="1:19">
      <c r="A432">
        <v>275675</v>
      </c>
      <c r="B432" s="254" t="str">
        <f t="shared" si="13"/>
        <v>STRONG 100N šedý Automatický</v>
      </c>
      <c r="C432">
        <v>304</v>
      </c>
      <c r="O432" t="s">
        <v>1104</v>
      </c>
      <c r="P432" t="s">
        <v>1104</v>
      </c>
      <c r="Q432" t="s">
        <v>1331</v>
      </c>
      <c r="R432" t="s">
        <v>1332</v>
      </c>
      <c r="S432" s="111" t="s">
        <v>1940</v>
      </c>
    </row>
    <row r="433" spans="1:19">
      <c r="A433">
        <v>275676</v>
      </c>
      <c r="B433" s="254" t="str">
        <f t="shared" si="13"/>
        <v>STRONG 120N šedý Automatický</v>
      </c>
      <c r="C433">
        <v>305</v>
      </c>
      <c r="O433" t="s">
        <v>1106</v>
      </c>
      <c r="P433" t="s">
        <v>1106</v>
      </c>
      <c r="Q433" t="s">
        <v>1333</v>
      </c>
      <c r="R433" t="s">
        <v>1334</v>
      </c>
      <c r="S433" s="111" t="s">
        <v>1941</v>
      </c>
    </row>
    <row r="434" spans="1:19">
      <c r="A434">
        <v>284250</v>
      </c>
      <c r="B434" s="254" t="str">
        <f t="shared" si="13"/>
        <v>STRONG 60N šedý Polohovací</v>
      </c>
      <c r="C434">
        <v>306</v>
      </c>
      <c r="O434" t="s">
        <v>1108</v>
      </c>
      <c r="P434" t="s">
        <v>1108</v>
      </c>
      <c r="Q434" t="s">
        <v>1335</v>
      </c>
      <c r="R434" t="s">
        <v>1336</v>
      </c>
      <c r="S434" s="111" t="s">
        <v>1942</v>
      </c>
    </row>
    <row r="435" spans="1:19">
      <c r="A435">
        <v>284251</v>
      </c>
      <c r="B435" s="254" t="str">
        <f t="shared" si="13"/>
        <v>STRONG 80N šedý Polohovací</v>
      </c>
      <c r="C435">
        <v>307</v>
      </c>
      <c r="O435" t="s">
        <v>1110</v>
      </c>
      <c r="P435" t="s">
        <v>1110</v>
      </c>
      <c r="Q435" t="s">
        <v>1337</v>
      </c>
      <c r="R435" t="s">
        <v>1338</v>
      </c>
      <c r="S435" s="111" t="s">
        <v>1943</v>
      </c>
    </row>
    <row r="436" spans="1:19">
      <c r="A436">
        <v>284252</v>
      </c>
      <c r="B436" s="254" t="str">
        <f t="shared" si="13"/>
        <v>STRONG 100N šedý Polohovací</v>
      </c>
      <c r="C436">
        <v>308</v>
      </c>
      <c r="O436" t="s">
        <v>1112</v>
      </c>
      <c r="P436" t="s">
        <v>1112</v>
      </c>
      <c r="Q436" t="s">
        <v>1339</v>
      </c>
      <c r="R436" t="s">
        <v>1340</v>
      </c>
      <c r="S436" s="111" t="s">
        <v>1944</v>
      </c>
    </row>
    <row r="437" spans="1:19">
      <c r="A437">
        <v>284253</v>
      </c>
      <c r="B437" s="254" t="str">
        <f t="shared" si="13"/>
        <v>STRONG 120N šedý Polohovací</v>
      </c>
      <c r="C437">
        <v>309</v>
      </c>
      <c r="O437" t="s">
        <v>1114</v>
      </c>
      <c r="P437" t="s">
        <v>1114</v>
      </c>
      <c r="Q437" t="s">
        <v>1341</v>
      </c>
      <c r="R437" t="s">
        <v>1342</v>
      </c>
      <c r="S437" s="111" t="s">
        <v>1945</v>
      </c>
    </row>
    <row r="438" spans="1:19">
      <c r="A438" t="s">
        <v>1160</v>
      </c>
      <c r="B438" s="254" t="str">
        <f t="shared" si="13"/>
        <v>HUWIL DUO</v>
      </c>
      <c r="C438">
        <v>310</v>
      </c>
      <c r="O438" t="s">
        <v>1116</v>
      </c>
      <c r="P438" t="s">
        <v>1116</v>
      </c>
      <c r="Q438" t="s">
        <v>1116</v>
      </c>
      <c r="R438" t="s">
        <v>1116</v>
      </c>
      <c r="S438" s="111" t="s">
        <v>1116</v>
      </c>
    </row>
    <row r="439" spans="1:19">
      <c r="A439" t="s">
        <v>1161</v>
      </c>
      <c r="B439" s="254" t="str">
        <f t="shared" si="13"/>
        <v>HUWILIFT MAXI</v>
      </c>
      <c r="C439">
        <v>311</v>
      </c>
      <c r="O439" t="s">
        <v>1120</v>
      </c>
      <c r="P439" t="s">
        <v>1120</v>
      </c>
      <c r="Q439" t="s">
        <v>1120</v>
      </c>
      <c r="R439" t="s">
        <v>1120</v>
      </c>
      <c r="S439" s="111" t="s">
        <v>1120</v>
      </c>
    </row>
    <row r="440" spans="1:19">
      <c r="A440">
        <v>135006</v>
      </c>
      <c r="B440" s="254" t="str">
        <f t="shared" si="13"/>
        <v>KRABY 164 45N</v>
      </c>
      <c r="C440">
        <v>312</v>
      </c>
      <c r="O440" t="s">
        <v>749</v>
      </c>
      <c r="P440" t="s">
        <v>749</v>
      </c>
      <c r="Q440" t="s">
        <v>749</v>
      </c>
      <c r="R440" t="s">
        <v>749</v>
      </c>
      <c r="S440" s="111" t="s">
        <v>749</v>
      </c>
    </row>
    <row r="441" spans="1:19">
      <c r="A441">
        <v>135007</v>
      </c>
      <c r="B441" s="254" t="str">
        <f t="shared" si="13"/>
        <v>KRABY 164 60N</v>
      </c>
      <c r="C441">
        <v>313</v>
      </c>
      <c r="O441" t="s">
        <v>750</v>
      </c>
      <c r="P441" t="s">
        <v>750</v>
      </c>
      <c r="Q441" t="s">
        <v>750</v>
      </c>
      <c r="R441" t="s">
        <v>750</v>
      </c>
      <c r="S441" s="111" t="s">
        <v>750</v>
      </c>
    </row>
    <row r="442" spans="1:19">
      <c r="A442">
        <v>15590</v>
      </c>
      <c r="B442" s="254" t="str">
        <f t="shared" si="13"/>
        <v>KRABY 244 45N</v>
      </c>
      <c r="C442">
        <v>314</v>
      </c>
      <c r="O442" t="s">
        <v>751</v>
      </c>
      <c r="P442" t="s">
        <v>751</v>
      </c>
      <c r="Q442" t="s">
        <v>751</v>
      </c>
      <c r="R442" t="s">
        <v>751</v>
      </c>
      <c r="S442" s="111" t="s">
        <v>751</v>
      </c>
    </row>
    <row r="443" spans="1:19">
      <c r="A443">
        <v>15591</v>
      </c>
      <c r="B443" s="254" t="str">
        <f t="shared" si="13"/>
        <v>KRABY 244 60N</v>
      </c>
      <c r="C443">
        <v>315</v>
      </c>
      <c r="O443" t="s">
        <v>752</v>
      </c>
      <c r="P443" t="s">
        <v>752</v>
      </c>
      <c r="Q443" t="s">
        <v>752</v>
      </c>
      <c r="R443" t="s">
        <v>752</v>
      </c>
      <c r="S443" s="111" t="s">
        <v>752</v>
      </c>
    </row>
    <row r="444" spans="1:19">
      <c r="A444">
        <v>15592</v>
      </c>
      <c r="B444" s="254" t="str">
        <f t="shared" si="13"/>
        <v>KRABY 244 90N</v>
      </c>
      <c r="C444">
        <v>316</v>
      </c>
      <c r="O444" t="s">
        <v>753</v>
      </c>
      <c r="P444" t="s">
        <v>753</v>
      </c>
      <c r="Q444" t="s">
        <v>753</v>
      </c>
      <c r="R444" t="s">
        <v>753</v>
      </c>
      <c r="S444" s="111" t="s">
        <v>753</v>
      </c>
    </row>
    <row r="445" spans="1:19">
      <c r="A445">
        <v>15593</v>
      </c>
      <c r="B445" s="254" t="str">
        <f t="shared" si="13"/>
        <v>KRABY 244 120N</v>
      </c>
      <c r="C445">
        <v>317</v>
      </c>
      <c r="O445" t="s">
        <v>754</v>
      </c>
      <c r="P445" t="s">
        <v>754</v>
      </c>
      <c r="Q445" t="s">
        <v>754</v>
      </c>
      <c r="R445" t="s">
        <v>754</v>
      </c>
      <c r="S445" s="111" t="s">
        <v>754</v>
      </c>
    </row>
    <row r="446" spans="1:19">
      <c r="A446">
        <v>135008</v>
      </c>
      <c r="B446" s="254" t="str">
        <f t="shared" si="13"/>
        <v>KRABY 355 45N</v>
      </c>
      <c r="C446">
        <v>318</v>
      </c>
      <c r="O446" t="s">
        <v>755</v>
      </c>
      <c r="P446" t="s">
        <v>755</v>
      </c>
      <c r="Q446" t="s">
        <v>755</v>
      </c>
      <c r="R446" t="s">
        <v>755</v>
      </c>
      <c r="S446" s="111" t="s">
        <v>755</v>
      </c>
    </row>
    <row r="447" spans="1:19">
      <c r="A447">
        <v>135009</v>
      </c>
      <c r="B447" s="254" t="str">
        <f t="shared" si="13"/>
        <v>KRABY 355 60N</v>
      </c>
      <c r="C447">
        <v>319</v>
      </c>
      <c r="O447" t="s">
        <v>756</v>
      </c>
      <c r="P447" t="s">
        <v>756</v>
      </c>
      <c r="Q447" t="s">
        <v>756</v>
      </c>
      <c r="R447" t="s">
        <v>756</v>
      </c>
      <c r="S447" s="111" t="s">
        <v>756</v>
      </c>
    </row>
    <row r="448" spans="1:19">
      <c r="A448">
        <v>135010</v>
      </c>
      <c r="B448" s="254" t="str">
        <f t="shared" si="13"/>
        <v>KRABY 355 90N</v>
      </c>
      <c r="C448">
        <v>320</v>
      </c>
      <c r="O448" t="s">
        <v>757</v>
      </c>
      <c r="P448" t="s">
        <v>757</v>
      </c>
      <c r="Q448" t="s">
        <v>757</v>
      </c>
      <c r="R448" t="s">
        <v>757</v>
      </c>
      <c r="S448" s="111" t="s">
        <v>757</v>
      </c>
    </row>
    <row r="449" spans="1:19">
      <c r="A449">
        <v>135011</v>
      </c>
      <c r="B449" s="254" t="str">
        <f t="shared" ref="B449:B500" si="14">IF($D$1=1,O:O,IF($D$1=2,P:P,IF($D$1=3,Q:Q,IF($D$1=4,R:R,IF($D$1=5,S:S)))))</f>
        <v>KRABY 355 120N</v>
      </c>
      <c r="C449">
        <v>321</v>
      </c>
      <c r="O449" t="s">
        <v>758</v>
      </c>
      <c r="P449" t="s">
        <v>758</v>
      </c>
      <c r="Q449" t="s">
        <v>758</v>
      </c>
      <c r="R449" t="s">
        <v>758</v>
      </c>
      <c r="S449" s="111" t="s">
        <v>758</v>
      </c>
    </row>
    <row r="450" spans="1:19">
      <c r="A450">
        <v>282471</v>
      </c>
      <c r="B450" s="254" t="str">
        <f t="shared" si="14"/>
        <v>K12 244 50N</v>
      </c>
      <c r="C450">
        <v>322</v>
      </c>
      <c r="O450" t="s">
        <v>1132</v>
      </c>
      <c r="P450" t="s">
        <v>1132</v>
      </c>
      <c r="Q450" t="s">
        <v>1132</v>
      </c>
      <c r="R450" t="s">
        <v>1132</v>
      </c>
      <c r="S450" s="111" t="s">
        <v>1132</v>
      </c>
    </row>
    <row r="451" spans="1:19">
      <c r="A451">
        <v>282472</v>
      </c>
      <c r="B451" s="254" t="str">
        <f t="shared" si="14"/>
        <v>K12 244 80N</v>
      </c>
      <c r="C451">
        <v>323</v>
      </c>
      <c r="O451" t="s">
        <v>1134</v>
      </c>
      <c r="P451" t="s">
        <v>1134</v>
      </c>
      <c r="Q451" t="s">
        <v>1134</v>
      </c>
      <c r="R451" t="s">
        <v>1134</v>
      </c>
      <c r="S451" s="111" t="s">
        <v>1134</v>
      </c>
    </row>
    <row r="452" spans="1:19">
      <c r="A452">
        <v>282473</v>
      </c>
      <c r="B452" s="254" t="str">
        <f t="shared" si="14"/>
        <v>K12 244 100N</v>
      </c>
      <c r="C452">
        <v>324</v>
      </c>
      <c r="O452" t="s">
        <v>1136</v>
      </c>
      <c r="P452" t="s">
        <v>1136</v>
      </c>
      <c r="Q452" t="s">
        <v>1136</v>
      </c>
      <c r="R452" t="s">
        <v>1136</v>
      </c>
      <c r="S452" s="111" t="s">
        <v>1136</v>
      </c>
    </row>
    <row r="453" spans="1:19">
      <c r="A453">
        <v>282474</v>
      </c>
      <c r="B453" s="254" t="str">
        <f t="shared" si="14"/>
        <v>K12 244 120N</v>
      </c>
      <c r="C453">
        <v>325</v>
      </c>
      <c r="O453" t="s">
        <v>1138</v>
      </c>
      <c r="P453" t="s">
        <v>1138</v>
      </c>
      <c r="Q453" t="s">
        <v>1138</v>
      </c>
      <c r="R453" t="s">
        <v>1138</v>
      </c>
      <c r="S453" s="111" t="s">
        <v>1138</v>
      </c>
    </row>
    <row r="454" spans="1:19">
      <c r="A454">
        <v>282475</v>
      </c>
      <c r="B454" s="254" t="str">
        <f t="shared" si="14"/>
        <v>K12 355 60N</v>
      </c>
      <c r="C454">
        <v>326</v>
      </c>
      <c r="O454" t="s">
        <v>1140</v>
      </c>
      <c r="P454" t="s">
        <v>1140</v>
      </c>
      <c r="Q454" t="s">
        <v>1140</v>
      </c>
      <c r="R454" t="s">
        <v>1140</v>
      </c>
      <c r="S454" s="111" t="s">
        <v>1140</v>
      </c>
    </row>
    <row r="455" spans="1:19">
      <c r="A455">
        <v>282476</v>
      </c>
      <c r="B455" s="254" t="str">
        <f t="shared" si="14"/>
        <v>K12 355 90N</v>
      </c>
      <c r="C455">
        <v>327</v>
      </c>
      <c r="O455" t="s">
        <v>1142</v>
      </c>
      <c r="P455" t="s">
        <v>1142</v>
      </c>
      <c r="Q455" t="s">
        <v>1142</v>
      </c>
      <c r="R455" t="s">
        <v>1142</v>
      </c>
      <c r="S455" s="111" t="s">
        <v>1142</v>
      </c>
    </row>
    <row r="456" spans="1:19">
      <c r="A456">
        <v>282477</v>
      </c>
      <c r="B456" s="254" t="str">
        <f t="shared" si="14"/>
        <v>K12 355 110N</v>
      </c>
      <c r="C456">
        <v>328</v>
      </c>
      <c r="O456" t="s">
        <v>1144</v>
      </c>
      <c r="P456" t="s">
        <v>1144</v>
      </c>
      <c r="Q456" t="s">
        <v>1144</v>
      </c>
      <c r="R456" t="s">
        <v>1144</v>
      </c>
      <c r="S456" s="111" t="s">
        <v>1144</v>
      </c>
    </row>
    <row r="457" spans="1:19">
      <c r="A457">
        <v>282478</v>
      </c>
      <c r="B457" s="254" t="str">
        <f t="shared" si="14"/>
        <v>K12 355 130N</v>
      </c>
      <c r="C457">
        <v>329</v>
      </c>
      <c r="O457" t="s">
        <v>1146</v>
      </c>
      <c r="P457" t="s">
        <v>1146</v>
      </c>
      <c r="Q457" t="s">
        <v>1146</v>
      </c>
      <c r="R457" t="s">
        <v>1146</v>
      </c>
      <c r="S457" s="111" t="s">
        <v>1146</v>
      </c>
    </row>
    <row r="458" spans="1:19">
      <c r="A458">
        <v>275689</v>
      </c>
      <c r="B458" s="254" t="str">
        <f t="shared" si="14"/>
        <v>STRONG spodní bílý</v>
      </c>
      <c r="C458">
        <v>330</v>
      </c>
      <c r="O458" t="s">
        <v>1148</v>
      </c>
      <c r="P458" t="s">
        <v>1343</v>
      </c>
      <c r="Q458" t="s">
        <v>1344</v>
      </c>
      <c r="R458" t="s">
        <v>1345</v>
      </c>
      <c r="S458" s="111" t="s">
        <v>1946</v>
      </c>
    </row>
    <row r="459" spans="1:19">
      <c r="A459">
        <v>248167</v>
      </c>
      <c r="B459" s="254" t="str">
        <f t="shared" si="14"/>
        <v>STRONG spodní šedý</v>
      </c>
      <c r="C459">
        <v>331</v>
      </c>
      <c r="O459" t="s">
        <v>1150</v>
      </c>
      <c r="P459" t="s">
        <v>1346</v>
      </c>
      <c r="Q459" t="s">
        <v>1347</v>
      </c>
      <c r="R459" t="s">
        <v>1348</v>
      </c>
      <c r="S459" s="111" t="s">
        <v>1947</v>
      </c>
    </row>
    <row r="460" spans="1:19">
      <c r="A460" t="s">
        <v>1151</v>
      </c>
      <c r="B460" s="254" t="str">
        <f t="shared" si="14"/>
        <v xml:space="preserve">HUWIL DUO (90°) </v>
      </c>
      <c r="C460">
        <v>332</v>
      </c>
      <c r="O460" t="s">
        <v>1152</v>
      </c>
      <c r="P460" t="s">
        <v>1152</v>
      </c>
      <c r="Q460" t="s">
        <v>1152</v>
      </c>
      <c r="R460" t="s">
        <v>1152</v>
      </c>
      <c r="S460" s="111" t="s">
        <v>1948</v>
      </c>
    </row>
    <row r="461" spans="1:19">
      <c r="A461" t="s">
        <v>1153</v>
      </c>
      <c r="B461" s="254" t="str">
        <f t="shared" si="14"/>
        <v>HUWIL DUO FORTE</v>
      </c>
      <c r="C461">
        <v>333</v>
      </c>
      <c r="O461" t="s">
        <v>1118</v>
      </c>
      <c r="P461" t="s">
        <v>1118</v>
      </c>
      <c r="Q461" t="s">
        <v>1118</v>
      </c>
      <c r="R461" t="s">
        <v>1118</v>
      </c>
      <c r="S461" s="111" t="s">
        <v>1118</v>
      </c>
    </row>
    <row r="462" spans="1:19">
      <c r="A462">
        <v>15588</v>
      </c>
      <c r="B462" s="254" t="str">
        <f t="shared" si="14"/>
        <v>KRABY 164 spodní</v>
      </c>
      <c r="C462">
        <v>334</v>
      </c>
      <c r="O462" t="s">
        <v>1155</v>
      </c>
      <c r="P462" t="s">
        <v>1349</v>
      </c>
      <c r="Q462" t="s">
        <v>1350</v>
      </c>
      <c r="R462" t="s">
        <v>1351</v>
      </c>
      <c r="S462" s="111" t="s">
        <v>1949</v>
      </c>
    </row>
    <row r="463" spans="1:19">
      <c r="A463">
        <v>15594</v>
      </c>
      <c r="B463" s="254" t="str">
        <f t="shared" si="14"/>
        <v>KRABY 244 spodní</v>
      </c>
      <c r="C463">
        <v>335</v>
      </c>
      <c r="O463" t="s">
        <v>1157</v>
      </c>
      <c r="P463" t="s">
        <v>1352</v>
      </c>
      <c r="Q463" t="s">
        <v>1353</v>
      </c>
      <c r="R463" t="s">
        <v>1354</v>
      </c>
      <c r="S463" s="111" t="s">
        <v>1950</v>
      </c>
    </row>
    <row r="464" spans="1:19">
      <c r="A464">
        <v>15589</v>
      </c>
      <c r="B464" s="254" t="str">
        <f t="shared" si="14"/>
        <v>KRABY 355 spodní</v>
      </c>
      <c r="C464">
        <v>336</v>
      </c>
      <c r="O464" t="s">
        <v>1159</v>
      </c>
      <c r="P464" t="s">
        <v>1355</v>
      </c>
      <c r="Q464" t="s">
        <v>1356</v>
      </c>
      <c r="R464" t="s">
        <v>1357</v>
      </c>
      <c r="S464" s="111" t="s">
        <v>1951</v>
      </c>
    </row>
    <row r="465" spans="1:19">
      <c r="A465">
        <v>92613</v>
      </c>
      <c r="B465" s="254" t="str">
        <f t="shared" si="14"/>
        <v>k nasunutí na vrut H0</v>
      </c>
      <c r="C465">
        <v>337</v>
      </c>
      <c r="O465" t="s">
        <v>1179</v>
      </c>
      <c r="P465" t="s">
        <v>1358</v>
      </c>
      <c r="Q465" t="s">
        <v>1359</v>
      </c>
      <c r="R465" t="s">
        <v>1360</v>
      </c>
      <c r="S465" s="111" t="s">
        <v>1952</v>
      </c>
    </row>
    <row r="466" spans="1:19">
      <c r="A466">
        <v>92614</v>
      </c>
      <c r="B466" s="254" t="str">
        <f t="shared" si="14"/>
        <v>k nasunutí EURO šroub H0</v>
      </c>
      <c r="C466">
        <v>338</v>
      </c>
      <c r="O466" t="s">
        <v>1180</v>
      </c>
      <c r="P466" t="s">
        <v>1361</v>
      </c>
      <c r="Q466" t="s">
        <v>1362</v>
      </c>
      <c r="R466" t="s">
        <v>1363</v>
      </c>
      <c r="S466" s="111" t="s">
        <v>1953</v>
      </c>
    </row>
    <row r="467" spans="1:19">
      <c r="A467">
        <v>92592</v>
      </c>
      <c r="B467" s="254" t="str">
        <f t="shared" si="14"/>
        <v>k nasunutí na vrut H2</v>
      </c>
      <c r="C467">
        <v>339</v>
      </c>
      <c r="O467" t="s">
        <v>1181</v>
      </c>
      <c r="P467" t="s">
        <v>1364</v>
      </c>
      <c r="Q467" t="s">
        <v>1365</v>
      </c>
      <c r="R467" t="s">
        <v>1366</v>
      </c>
      <c r="S467" s="111" t="s">
        <v>1954</v>
      </c>
    </row>
    <row r="468" spans="1:19">
      <c r="A468">
        <v>92593</v>
      </c>
      <c r="B468" s="254" t="str">
        <f t="shared" si="14"/>
        <v>k nasunutí EURO šroub H2</v>
      </c>
      <c r="C468">
        <v>340</v>
      </c>
      <c r="O468" t="s">
        <v>1182</v>
      </c>
      <c r="P468" t="s">
        <v>1367</v>
      </c>
      <c r="Q468" t="s">
        <v>1368</v>
      </c>
      <c r="R468" t="s">
        <v>1369</v>
      </c>
      <c r="S468" s="111" t="s">
        <v>1955</v>
      </c>
    </row>
    <row r="469" spans="1:19">
      <c r="A469" t="s">
        <v>148</v>
      </c>
      <c r="B469" s="254" t="str">
        <f t="shared" si="14"/>
        <v>Clip na vrut H2</v>
      </c>
      <c r="C469">
        <v>341</v>
      </c>
      <c r="O469" t="s">
        <v>212</v>
      </c>
      <c r="P469" t="s">
        <v>426</v>
      </c>
      <c r="Q469" t="s">
        <v>490</v>
      </c>
      <c r="R469" t="s">
        <v>566</v>
      </c>
      <c r="S469" s="111" t="s">
        <v>1784</v>
      </c>
    </row>
    <row r="470" spans="1:19">
      <c r="A470" t="s">
        <v>117</v>
      </c>
      <c r="B470" s="254" t="str">
        <f t="shared" si="14"/>
        <v>Clip vrut s excentrem H0</v>
      </c>
      <c r="C470">
        <v>342</v>
      </c>
      <c r="O470" t="s">
        <v>1184</v>
      </c>
      <c r="P470" t="s">
        <v>1370</v>
      </c>
      <c r="Q470" t="s">
        <v>1371</v>
      </c>
      <c r="R470" t="s">
        <v>1565</v>
      </c>
      <c r="S470" s="111" t="s">
        <v>1956</v>
      </c>
    </row>
    <row r="471" spans="1:19">
      <c r="A471" t="s">
        <v>1183</v>
      </c>
      <c r="B471" s="254" t="str">
        <f t="shared" si="14"/>
        <v>Clip na vrut H0</v>
      </c>
      <c r="C471">
        <v>343</v>
      </c>
      <c r="O471" t="s">
        <v>210</v>
      </c>
      <c r="P471" t="s">
        <v>442</v>
      </c>
      <c r="Q471" t="s">
        <v>507</v>
      </c>
      <c r="R471" t="s">
        <v>583</v>
      </c>
      <c r="S471" s="111" t="s">
        <v>1804</v>
      </c>
    </row>
    <row r="472" spans="1:19">
      <c r="B472" s="254" t="str">
        <f t="shared" si="14"/>
        <v>Minimální možný rozměr rámečku je 140x140mm</v>
      </c>
      <c r="O472" t="s">
        <v>1377</v>
      </c>
      <c r="P472" t="s">
        <v>1378</v>
      </c>
      <c r="Q472" t="s">
        <v>1379</v>
      </c>
      <c r="R472" t="s">
        <v>1380</v>
      </c>
      <c r="S472" s="111" t="s">
        <v>1957</v>
      </c>
    </row>
    <row r="473" spans="1:19">
      <c r="A473">
        <v>308058</v>
      </c>
      <c r="B473" s="254" t="str">
        <f t="shared" si="14"/>
        <v xml:space="preserve">Sensys SiSy naložený </v>
      </c>
      <c r="O473" s="184" t="s">
        <v>1382</v>
      </c>
      <c r="P473" t="s">
        <v>1382</v>
      </c>
      <c r="Q473" t="s">
        <v>1525</v>
      </c>
      <c r="R473" t="s">
        <v>1526</v>
      </c>
      <c r="S473" s="111" t="s">
        <v>1958</v>
      </c>
    </row>
    <row r="474" spans="1:19">
      <c r="A474">
        <v>308454</v>
      </c>
      <c r="B474" s="254" t="str">
        <f t="shared" si="14"/>
        <v xml:space="preserve">Sensys SiSy polonaložený </v>
      </c>
      <c r="O474" s="184" t="s">
        <v>1383</v>
      </c>
      <c r="P474" t="s">
        <v>1383</v>
      </c>
      <c r="Q474" t="s">
        <v>1533</v>
      </c>
      <c r="R474" t="s">
        <v>1534</v>
      </c>
      <c r="S474" s="111" t="s">
        <v>1959</v>
      </c>
    </row>
    <row r="475" spans="1:19">
      <c r="A475">
        <v>308455</v>
      </c>
      <c r="B475" s="254" t="str">
        <f t="shared" si="14"/>
        <v xml:space="preserve">Sensys SiSy vložený </v>
      </c>
      <c r="O475" s="184" t="s">
        <v>1384</v>
      </c>
      <c r="P475" s="72" t="s">
        <v>1552</v>
      </c>
      <c r="Q475" s="72" t="s">
        <v>1553</v>
      </c>
      <c r="R475" s="72" t="s">
        <v>1554</v>
      </c>
      <c r="S475" s="111" t="s">
        <v>1960</v>
      </c>
    </row>
    <row r="476" spans="1:19">
      <c r="A476">
        <v>336503</v>
      </c>
      <c r="B476" s="254" t="str">
        <f t="shared" si="14"/>
        <v xml:space="preserve">Sensys P2o naložený </v>
      </c>
      <c r="O476" s="184" t="s">
        <v>1385</v>
      </c>
      <c r="P476" t="s">
        <v>1385</v>
      </c>
      <c r="Q476" t="s">
        <v>1527</v>
      </c>
      <c r="R476" t="s">
        <v>1528</v>
      </c>
      <c r="S476" s="111" t="s">
        <v>1961</v>
      </c>
    </row>
    <row r="477" spans="1:19">
      <c r="A477">
        <v>336506</v>
      </c>
      <c r="B477" s="254" t="str">
        <f t="shared" si="14"/>
        <v xml:space="preserve">Sensys P2o polonaložený </v>
      </c>
      <c r="O477" s="184" t="s">
        <v>1386</v>
      </c>
      <c r="P477" t="s">
        <v>1386</v>
      </c>
      <c r="Q477" t="s">
        <v>1535</v>
      </c>
      <c r="R477" t="s">
        <v>1536</v>
      </c>
      <c r="S477" s="111" t="s">
        <v>1962</v>
      </c>
    </row>
    <row r="478" spans="1:19">
      <c r="A478">
        <v>346823</v>
      </c>
      <c r="B478" s="254" t="str">
        <f t="shared" si="14"/>
        <v xml:space="preserve">Sensys P2o vložený </v>
      </c>
      <c r="O478" s="184" t="s">
        <v>1387</v>
      </c>
      <c r="P478" s="72" t="s">
        <v>1555</v>
      </c>
      <c r="Q478" s="72" t="s">
        <v>1556</v>
      </c>
      <c r="R478" s="72" t="s">
        <v>1557</v>
      </c>
      <c r="S478" s="111" t="s">
        <v>1963</v>
      </c>
    </row>
    <row r="479" spans="1:19">
      <c r="A479" s="183">
        <v>300285</v>
      </c>
      <c r="B479" s="254" t="str">
        <f t="shared" si="14"/>
        <v>Sensys naložený P2O</v>
      </c>
      <c r="O479" s="184" t="s">
        <v>1388</v>
      </c>
      <c r="P479" t="s">
        <v>1385</v>
      </c>
      <c r="Q479" t="s">
        <v>1527</v>
      </c>
      <c r="R479" t="s">
        <v>1528</v>
      </c>
      <c r="S479" s="111" t="s">
        <v>1964</v>
      </c>
    </row>
    <row r="480" spans="1:19">
      <c r="A480">
        <v>306317</v>
      </c>
      <c r="B480" s="254" t="str">
        <f t="shared" si="14"/>
        <v>naložený s tlumením clip 110°, ONYX</v>
      </c>
      <c r="O480" t="s">
        <v>1389</v>
      </c>
      <c r="P480" t="s">
        <v>1529</v>
      </c>
      <c r="Q480" t="s">
        <v>1530</v>
      </c>
      <c r="R480" t="s">
        <v>1549</v>
      </c>
      <c r="S480" s="111" t="s">
        <v>1965</v>
      </c>
    </row>
    <row r="481" spans="1:19">
      <c r="A481">
        <v>306318</v>
      </c>
      <c r="B481" s="254" t="str">
        <f t="shared" si="14"/>
        <v>polonaložený s tlumením clip 110°, ONYX</v>
      </c>
      <c r="O481" t="s">
        <v>1390</v>
      </c>
      <c r="P481" t="s">
        <v>1531</v>
      </c>
      <c r="Q481" t="s">
        <v>1532</v>
      </c>
      <c r="R481" t="s">
        <v>1550</v>
      </c>
      <c r="S481" s="111" t="s">
        <v>1966</v>
      </c>
    </row>
    <row r="482" spans="1:19">
      <c r="A482">
        <v>306319</v>
      </c>
      <c r="B482" s="254" t="str">
        <f t="shared" si="14"/>
        <v>vložený s tlumením clip 110°, ONYX</v>
      </c>
      <c r="O482" t="s">
        <v>1391</v>
      </c>
      <c r="P482" t="s">
        <v>1558</v>
      </c>
      <c r="Q482" t="s">
        <v>1559</v>
      </c>
      <c r="R482" t="s">
        <v>1560</v>
      </c>
      <c r="S482" s="111" t="s">
        <v>1967</v>
      </c>
    </row>
    <row r="483" spans="1:19">
      <c r="A483">
        <v>306329</v>
      </c>
      <c r="B483" s="254" t="str">
        <f t="shared" si="14"/>
        <v>naložený 95°, Onyx</v>
      </c>
      <c r="O483" t="s">
        <v>1392</v>
      </c>
      <c r="P483" t="s">
        <v>1537</v>
      </c>
      <c r="Q483" t="s">
        <v>1538</v>
      </c>
      <c r="R483" t="s">
        <v>1551</v>
      </c>
      <c r="S483" s="111" t="s">
        <v>1968</v>
      </c>
    </row>
    <row r="484" spans="1:19">
      <c r="B484" s="254" t="str">
        <f t="shared" si="14"/>
        <v>STRONGHINGES</v>
      </c>
      <c r="O484" t="s">
        <v>3726</v>
      </c>
      <c r="P484" t="s">
        <v>3726</v>
      </c>
      <c r="Q484" t="s">
        <v>3726</v>
      </c>
      <c r="R484" t="s">
        <v>3726</v>
      </c>
      <c r="S484" t="s">
        <v>3726</v>
      </c>
    </row>
    <row r="485" spans="1:19">
      <c r="A485">
        <v>350837</v>
      </c>
      <c r="B485" s="254" t="str">
        <f t="shared" si="14"/>
        <v>StrongHinges naložený clip bez pružiny</v>
      </c>
      <c r="O485" t="s">
        <v>3699</v>
      </c>
      <c r="P485" s="72" t="s">
        <v>3700</v>
      </c>
      <c r="Q485" s="72" t="s">
        <v>3701</v>
      </c>
      <c r="R485" s="72" t="s">
        <v>3702</v>
      </c>
      <c r="S485" s="111" t="s">
        <v>3764</v>
      </c>
    </row>
    <row r="486" spans="1:19">
      <c r="A486">
        <v>350838</v>
      </c>
      <c r="B486" s="254" t="str">
        <f t="shared" si="14"/>
        <v>StrongHinges naložený clip bez pružiny</v>
      </c>
      <c r="O486" t="s">
        <v>3699</v>
      </c>
      <c r="P486" s="72" t="s">
        <v>3703</v>
      </c>
      <c r="Q486" s="72" t="s">
        <v>3754</v>
      </c>
      <c r="R486" s="72" t="s">
        <v>3755</v>
      </c>
      <c r="S486" s="111" t="s">
        <v>3764</v>
      </c>
    </row>
    <row r="487" spans="1:19">
      <c r="A487">
        <v>350839</v>
      </c>
      <c r="B487" s="254" t="str">
        <f t="shared" si="14"/>
        <v>StrongHinges vložený clip bez pružiny</v>
      </c>
      <c r="O487" t="s">
        <v>3759</v>
      </c>
      <c r="P487" s="72" t="s">
        <v>3704</v>
      </c>
      <c r="Q487" s="72" t="s">
        <v>3705</v>
      </c>
      <c r="R487" s="72" t="s">
        <v>3756</v>
      </c>
      <c r="S487" s="111" t="s">
        <v>3772</v>
      </c>
    </row>
    <row r="488" spans="1:19">
      <c r="A488">
        <v>350856</v>
      </c>
      <c r="B488" s="254" t="str">
        <f t="shared" si="14"/>
        <v>StrongHinges 30° clip bez pružiny</v>
      </c>
      <c r="O488" t="s">
        <v>3706</v>
      </c>
      <c r="P488" s="72" t="s">
        <v>3707</v>
      </c>
      <c r="Q488" s="72" t="s">
        <v>3708</v>
      </c>
      <c r="R488" s="72" t="s">
        <v>3709</v>
      </c>
      <c r="S488" s="111" t="s">
        <v>3765</v>
      </c>
    </row>
    <row r="489" spans="1:19">
      <c r="A489" s="205">
        <v>350827</v>
      </c>
      <c r="B489" s="254" t="str">
        <f t="shared" si="14"/>
        <v>StrongHinges naložený clip</v>
      </c>
      <c r="O489" t="s">
        <v>3710</v>
      </c>
      <c r="P489" t="s">
        <v>3710</v>
      </c>
      <c r="Q489" t="s">
        <v>3711</v>
      </c>
      <c r="R489" t="s">
        <v>3712</v>
      </c>
      <c r="S489" s="111" t="s">
        <v>3766</v>
      </c>
    </row>
    <row r="490" spans="1:19">
      <c r="A490" s="205">
        <v>350828</v>
      </c>
      <c r="B490" s="254" t="str">
        <f t="shared" si="14"/>
        <v>StrongHinges polonaložený clip</v>
      </c>
      <c r="O490" t="s">
        <v>3713</v>
      </c>
      <c r="P490" t="s">
        <v>3713</v>
      </c>
      <c r="Q490" t="s">
        <v>3714</v>
      </c>
      <c r="R490" t="s">
        <v>3757</v>
      </c>
      <c r="S490" s="111" t="s">
        <v>3767</v>
      </c>
    </row>
    <row r="491" spans="1:19">
      <c r="A491" s="205">
        <v>350829</v>
      </c>
      <c r="B491" s="254" t="str">
        <f t="shared" si="14"/>
        <v>StrongHinges vložený clip</v>
      </c>
      <c r="O491" t="s">
        <v>3715</v>
      </c>
      <c r="P491" s="72" t="s">
        <v>3715</v>
      </c>
      <c r="Q491" s="72" t="s">
        <v>3716</v>
      </c>
      <c r="R491" s="72" t="s">
        <v>3758</v>
      </c>
      <c r="S491" s="111" t="s">
        <v>3768</v>
      </c>
    </row>
    <row r="492" spans="1:19">
      <c r="A492" s="205">
        <v>350854</v>
      </c>
      <c r="B492" s="254" t="str">
        <f t="shared" si="14"/>
        <v>StrongHinges 30°clip</v>
      </c>
      <c r="O492" t="s">
        <v>3717</v>
      </c>
      <c r="P492" t="s">
        <v>3717</v>
      </c>
      <c r="Q492" t="s">
        <v>3717</v>
      </c>
      <c r="R492" t="s">
        <v>3717</v>
      </c>
      <c r="S492" s="111" t="s">
        <v>3769</v>
      </c>
    </row>
    <row r="493" spans="1:19">
      <c r="A493" s="66">
        <v>350863</v>
      </c>
      <c r="B493" s="254" t="str">
        <f t="shared" si="14"/>
        <v>StrongHinges naložený clip</v>
      </c>
      <c r="O493" t="s">
        <v>3710</v>
      </c>
      <c r="P493" t="s">
        <v>3710</v>
      </c>
      <c r="Q493" t="s">
        <v>3711</v>
      </c>
      <c r="R493" t="s">
        <v>3712</v>
      </c>
      <c r="S493" s="111" t="s">
        <v>3766</v>
      </c>
    </row>
    <row r="494" spans="1:19">
      <c r="A494" s="66">
        <v>350864</v>
      </c>
      <c r="B494" s="254" t="str">
        <f t="shared" si="14"/>
        <v>StrongHinges naložený clip bez pružiny</v>
      </c>
      <c r="O494" t="s">
        <v>3699</v>
      </c>
      <c r="P494" s="72" t="s">
        <v>3700</v>
      </c>
      <c r="Q494" s="72" t="s">
        <v>3701</v>
      </c>
      <c r="R494" s="72" t="s">
        <v>3702</v>
      </c>
      <c r="S494" s="111" t="s">
        <v>3764</v>
      </c>
    </row>
    <row r="495" spans="1:19">
      <c r="A495" s="66">
        <v>315856</v>
      </c>
      <c r="B495" s="254" t="str">
        <f t="shared" si="14"/>
        <v>StrongHinges Clip vrut s excentrem H0</v>
      </c>
      <c r="O495" t="s">
        <v>3718</v>
      </c>
      <c r="P495" t="s">
        <v>3719</v>
      </c>
      <c r="Q495" t="s">
        <v>3720</v>
      </c>
      <c r="R495" t="s">
        <v>3721</v>
      </c>
      <c r="S495" s="111" t="s">
        <v>3770</v>
      </c>
    </row>
    <row r="496" spans="1:19">
      <c r="A496" s="66">
        <v>350868</v>
      </c>
      <c r="B496" s="254" t="str">
        <f t="shared" si="14"/>
        <v>StrongHinges Clip vrut s excentrem H2</v>
      </c>
      <c r="O496" t="s">
        <v>3722</v>
      </c>
      <c r="P496" t="s">
        <v>3723</v>
      </c>
      <c r="Q496" t="s">
        <v>3724</v>
      </c>
      <c r="R496" t="s">
        <v>3725</v>
      </c>
      <c r="S496" s="111" t="s">
        <v>3771</v>
      </c>
    </row>
    <row r="497" spans="2:19">
      <c r="B497" s="254" t="str">
        <f t="shared" si="14"/>
        <v>Úvod</v>
      </c>
      <c r="O497" t="s">
        <v>1566</v>
      </c>
      <c r="P497" t="s">
        <v>1566</v>
      </c>
      <c r="Q497" t="s">
        <v>1567</v>
      </c>
      <c r="R497" t="s">
        <v>1568</v>
      </c>
      <c r="S497" s="111" t="s">
        <v>1969</v>
      </c>
    </row>
    <row r="498" spans="2:19">
      <c r="B498" s="254" t="str">
        <f t="shared" si="14"/>
        <v>Maximální možný rozměr rámečku Corleone je 1500x600mm</v>
      </c>
      <c r="C498">
        <v>164</v>
      </c>
      <c r="O498" s="12" t="s">
        <v>1579</v>
      </c>
      <c r="P498" t="s">
        <v>1580</v>
      </c>
      <c r="Q498" t="s">
        <v>1581</v>
      </c>
      <c r="R498" t="s">
        <v>1582</v>
      </c>
      <c r="S498" s="111" t="s">
        <v>1970</v>
      </c>
    </row>
    <row r="499" spans="2:19">
      <c r="B499" s="254" t="str">
        <f t="shared" si="14"/>
        <v>Rámeček</v>
      </c>
      <c r="O499" s="12" t="s">
        <v>1755</v>
      </c>
      <c r="P499" t="s">
        <v>1756</v>
      </c>
      <c r="Q499" t="s">
        <v>1979</v>
      </c>
      <c r="R499" t="s">
        <v>1977</v>
      </c>
      <c r="S499" s="267" t="s">
        <v>1978</v>
      </c>
    </row>
    <row r="500" spans="2:19">
      <c r="B500" s="254" t="str">
        <f t="shared" si="14"/>
        <v>Přejít na:</v>
      </c>
      <c r="O500" s="12" t="s">
        <v>1980</v>
      </c>
      <c r="P500" t="s">
        <v>1984</v>
      </c>
      <c r="Q500" t="s">
        <v>1982</v>
      </c>
      <c r="R500" t="s">
        <v>1983</v>
      </c>
      <c r="S500" s="267" t="s">
        <v>1981</v>
      </c>
    </row>
    <row r="501" spans="2:19">
      <c r="B501" s="13" t="s">
        <v>1971</v>
      </c>
      <c r="O501" t="s">
        <v>1971</v>
      </c>
      <c r="P501" t="s">
        <v>1972</v>
      </c>
      <c r="Q501" t="s">
        <v>1973</v>
      </c>
      <c r="R501" t="s">
        <v>1974</v>
      </c>
      <c r="S501" s="267" t="s">
        <v>1975</v>
      </c>
    </row>
    <row r="502" spans="2:19">
      <c r="B502" s="13"/>
      <c r="O502"/>
    </row>
    <row r="503" spans="2:19">
      <c r="B503" s="13"/>
      <c r="O503"/>
    </row>
    <row r="504" spans="2:19">
      <c r="B504" s="13"/>
      <c r="O504"/>
    </row>
    <row r="505" spans="2:19">
      <c r="B505" s="13"/>
      <c r="O505"/>
    </row>
    <row r="506" spans="2:19">
      <c r="B506" s="13"/>
      <c r="O506"/>
    </row>
    <row r="507" spans="2:19">
      <c r="B507" s="13"/>
      <c r="O507"/>
    </row>
    <row r="508" spans="2:19">
      <c r="B508" s="13"/>
      <c r="O508"/>
    </row>
    <row r="509" spans="2:19">
      <c r="B509" s="13"/>
      <c r="O509"/>
    </row>
    <row r="510" spans="2:19">
      <c r="B510" s="13"/>
      <c r="O510"/>
    </row>
    <row r="511" spans="2:19">
      <c r="B511" s="13"/>
      <c r="O511"/>
    </row>
    <row r="512" spans="2:19">
      <c r="B512" s="13"/>
      <c r="O512"/>
    </row>
    <row r="513" spans="2:15">
      <c r="B513" s="13"/>
      <c r="O513"/>
    </row>
    <row r="514" spans="2:15">
      <c r="B514" s="13"/>
      <c r="O514"/>
    </row>
    <row r="515" spans="2:15">
      <c r="B515" s="13"/>
      <c r="O515"/>
    </row>
    <row r="516" spans="2:15">
      <c r="B516" s="13"/>
      <c r="O516"/>
    </row>
    <row r="517" spans="2:15">
      <c r="B517" s="13"/>
      <c r="O517"/>
    </row>
    <row r="518" spans="2:15">
      <c r="B518" s="13"/>
      <c r="O518"/>
    </row>
    <row r="519" spans="2:15">
      <c r="B519" s="13"/>
      <c r="O519"/>
    </row>
    <row r="520" spans="2:15">
      <c r="B520" s="13"/>
      <c r="O520"/>
    </row>
    <row r="521" spans="2:15">
      <c r="B521" s="13"/>
      <c r="O521"/>
    </row>
    <row r="522" spans="2:15">
      <c r="B522" s="13"/>
      <c r="O522"/>
    </row>
    <row r="523" spans="2:15">
      <c r="B523" s="13"/>
      <c r="O523"/>
    </row>
    <row r="524" spans="2:15">
      <c r="B524" s="13"/>
      <c r="O524"/>
    </row>
    <row r="525" spans="2:15">
      <c r="B525" s="13"/>
      <c r="O525"/>
    </row>
    <row r="526" spans="2:15">
      <c r="B526" s="13"/>
      <c r="O526"/>
    </row>
    <row r="527" spans="2:15">
      <c r="B527" s="13"/>
      <c r="O527"/>
    </row>
    <row r="528" spans="2:15">
      <c r="B528" s="13"/>
      <c r="O528"/>
    </row>
    <row r="529" spans="2:15">
      <c r="B529" s="13"/>
      <c r="O529"/>
    </row>
    <row r="530" spans="2:15">
      <c r="B530" s="13"/>
      <c r="O530"/>
    </row>
    <row r="531" spans="2:15">
      <c r="B531" s="13"/>
      <c r="O531"/>
    </row>
    <row r="532" spans="2:15">
      <c r="B532" s="13"/>
      <c r="O532"/>
    </row>
    <row r="533" spans="2:15">
      <c r="B533" s="13"/>
      <c r="O533"/>
    </row>
    <row r="534" spans="2:15">
      <c r="B534" s="13"/>
      <c r="O534"/>
    </row>
    <row r="535" spans="2:15">
      <c r="B535" s="13"/>
      <c r="O535"/>
    </row>
    <row r="536" spans="2:15">
      <c r="B536" s="13"/>
      <c r="O536"/>
    </row>
    <row r="537" spans="2:15">
      <c r="B537" s="13"/>
      <c r="O537"/>
    </row>
    <row r="538" spans="2:15">
      <c r="B538" s="13"/>
      <c r="O538"/>
    </row>
    <row r="539" spans="2:15">
      <c r="B539" s="13"/>
      <c r="O539"/>
    </row>
    <row r="540" spans="2:15">
      <c r="B540" s="13"/>
      <c r="O540"/>
    </row>
    <row r="541" spans="2:15">
      <c r="B541" s="13"/>
      <c r="O541"/>
    </row>
    <row r="542" spans="2:15">
      <c r="B542" s="13"/>
      <c r="O542"/>
    </row>
    <row r="543" spans="2:15">
      <c r="B543" s="13"/>
      <c r="O543"/>
    </row>
    <row r="544" spans="2:15">
      <c r="B544" s="13"/>
      <c r="O544"/>
    </row>
    <row r="545" spans="2:15">
      <c r="B545" s="13"/>
      <c r="O545"/>
    </row>
    <row r="546" spans="2:15">
      <c r="B546" s="13"/>
      <c r="O546"/>
    </row>
    <row r="547" spans="2:15">
      <c r="B547" s="13"/>
      <c r="O547"/>
    </row>
    <row r="548" spans="2:15">
      <c r="B548" s="13"/>
      <c r="O548"/>
    </row>
    <row r="549" spans="2:15">
      <c r="B549" s="13"/>
      <c r="O549"/>
    </row>
    <row r="550" spans="2:15">
      <c r="B550" s="13"/>
      <c r="O550"/>
    </row>
    <row r="551" spans="2:15">
      <c r="B551" s="13"/>
      <c r="O551"/>
    </row>
    <row r="552" spans="2:15">
      <c r="B552" s="13"/>
      <c r="O552"/>
    </row>
    <row r="553" spans="2:15">
      <c r="B553" s="13"/>
      <c r="O553"/>
    </row>
    <row r="554" spans="2:15">
      <c r="B554" s="13"/>
      <c r="O554"/>
    </row>
    <row r="555" spans="2:15">
      <c r="B555" s="13"/>
      <c r="O555"/>
    </row>
    <row r="556" spans="2:15">
      <c r="B556" s="13"/>
      <c r="O556"/>
    </row>
    <row r="557" spans="2:15">
      <c r="B557" s="13"/>
      <c r="O557"/>
    </row>
    <row r="558" spans="2:15">
      <c r="B558" s="13"/>
      <c r="O558"/>
    </row>
    <row r="559" spans="2:15">
      <c r="B559" s="13"/>
      <c r="O559"/>
    </row>
    <row r="560" spans="2:15">
      <c r="B560" s="13"/>
      <c r="O560"/>
    </row>
    <row r="561" spans="2:15">
      <c r="B561" s="13"/>
      <c r="O561"/>
    </row>
    <row r="562" spans="2:15">
      <c r="B562" s="13"/>
      <c r="O562"/>
    </row>
    <row r="563" spans="2:15">
      <c r="B563" s="13"/>
      <c r="O563"/>
    </row>
    <row r="564" spans="2:15">
      <c r="B564" s="13"/>
      <c r="O564"/>
    </row>
    <row r="565" spans="2:15">
      <c r="B565" s="13"/>
      <c r="O565"/>
    </row>
    <row r="566" spans="2:15">
      <c r="B566" s="13"/>
      <c r="O566"/>
    </row>
    <row r="567" spans="2:15">
      <c r="B567" s="13"/>
      <c r="O567"/>
    </row>
    <row r="568" spans="2:15">
      <c r="B568" s="13"/>
      <c r="O568"/>
    </row>
    <row r="569" spans="2:15">
      <c r="B569" s="13"/>
      <c r="O569"/>
    </row>
    <row r="570" spans="2:15">
      <c r="B570" s="13"/>
      <c r="O570"/>
    </row>
    <row r="571" spans="2:15">
      <c r="B571" s="13"/>
      <c r="O571"/>
    </row>
    <row r="572" spans="2:15">
      <c r="B572" s="13"/>
      <c r="O572"/>
    </row>
    <row r="573" spans="2:15">
      <c r="B573" s="13"/>
      <c r="O573"/>
    </row>
    <row r="574" spans="2:15">
      <c r="B574" s="13"/>
      <c r="O574"/>
    </row>
    <row r="575" spans="2:15">
      <c r="B575" s="13"/>
      <c r="O575"/>
    </row>
    <row r="576" spans="2:15">
      <c r="B576" s="13"/>
      <c r="O576"/>
    </row>
    <row r="577" spans="2:15">
      <c r="B577" s="13"/>
      <c r="O577"/>
    </row>
    <row r="578" spans="2:15">
      <c r="B578" s="13"/>
      <c r="O578"/>
    </row>
    <row r="579" spans="2:15">
      <c r="B579" s="13"/>
      <c r="O579"/>
    </row>
    <row r="580" spans="2:15">
      <c r="B580" s="13"/>
      <c r="O580"/>
    </row>
    <row r="581" spans="2:15">
      <c r="B581" s="13"/>
      <c r="O581"/>
    </row>
    <row r="582" spans="2:15">
      <c r="B582" s="13"/>
      <c r="O582"/>
    </row>
    <row r="583" spans="2:15">
      <c r="B583" s="13"/>
      <c r="O583"/>
    </row>
    <row r="584" spans="2:15">
      <c r="B584" s="13"/>
      <c r="O584"/>
    </row>
    <row r="585" spans="2:15">
      <c r="B585" s="13"/>
      <c r="O585"/>
    </row>
    <row r="586" spans="2:15">
      <c r="B586" s="13"/>
      <c r="O586"/>
    </row>
    <row r="587" spans="2:15">
      <c r="B587" s="13"/>
      <c r="O587"/>
    </row>
    <row r="588" spans="2:15">
      <c r="B588" s="13"/>
      <c r="O588"/>
    </row>
    <row r="589" spans="2:15">
      <c r="B589" s="13"/>
      <c r="O589"/>
    </row>
    <row r="590" spans="2:15">
      <c r="B590" s="13"/>
      <c r="O590"/>
    </row>
    <row r="591" spans="2:15">
      <c r="B591" s="13"/>
      <c r="O591"/>
    </row>
    <row r="592" spans="2:15">
      <c r="B592" s="13"/>
      <c r="O592"/>
    </row>
    <row r="593" spans="2:15">
      <c r="B593" s="13"/>
      <c r="O593"/>
    </row>
    <row r="594" spans="2:15">
      <c r="B594" s="13"/>
      <c r="O594"/>
    </row>
    <row r="595" spans="2:15">
      <c r="B595" s="13"/>
      <c r="O595"/>
    </row>
    <row r="596" spans="2:15">
      <c r="B596" s="13"/>
      <c r="O596"/>
    </row>
    <row r="597" spans="2:15">
      <c r="B597" s="13"/>
      <c r="O597"/>
    </row>
    <row r="598" spans="2:15">
      <c r="B598" s="13"/>
      <c r="O598"/>
    </row>
    <row r="599" spans="2:15">
      <c r="B599" s="13"/>
      <c r="O599"/>
    </row>
    <row r="600" spans="2:15">
      <c r="B600" s="13"/>
      <c r="O600"/>
    </row>
    <row r="601" spans="2:15">
      <c r="B601" s="13"/>
      <c r="O601"/>
    </row>
    <row r="602" spans="2:15">
      <c r="B602" s="13"/>
      <c r="O602"/>
    </row>
    <row r="603" spans="2:15">
      <c r="B603" s="13"/>
      <c r="O603"/>
    </row>
    <row r="604" spans="2:15">
      <c r="B604" s="13"/>
      <c r="O604"/>
    </row>
    <row r="605" spans="2:15">
      <c r="B605" s="13"/>
      <c r="O605"/>
    </row>
    <row r="606" spans="2:15">
      <c r="B606" s="13"/>
      <c r="O606"/>
    </row>
    <row r="607" spans="2:15">
      <c r="B607" s="13"/>
      <c r="O607"/>
    </row>
    <row r="608" spans="2:15">
      <c r="B608" s="13"/>
      <c r="O608"/>
    </row>
    <row r="609" spans="2:15">
      <c r="B609" s="13"/>
      <c r="O609"/>
    </row>
    <row r="610" spans="2:15">
      <c r="B610" s="13"/>
      <c r="O610"/>
    </row>
    <row r="611" spans="2:15">
      <c r="B611" s="13"/>
      <c r="O611"/>
    </row>
    <row r="612" spans="2:15">
      <c r="B612" s="13"/>
      <c r="O612"/>
    </row>
    <row r="613" spans="2:15">
      <c r="B613" s="13"/>
      <c r="O613"/>
    </row>
    <row r="614" spans="2:15">
      <c r="B614" s="13"/>
      <c r="O614"/>
    </row>
    <row r="615" spans="2:15">
      <c r="B615" s="13"/>
      <c r="O615"/>
    </row>
    <row r="616" spans="2:15">
      <c r="B616" s="13"/>
      <c r="O616"/>
    </row>
    <row r="617" spans="2:15">
      <c r="B617" s="13"/>
      <c r="O617"/>
    </row>
    <row r="618" spans="2:15">
      <c r="B618" s="13"/>
      <c r="O618"/>
    </row>
    <row r="619" spans="2:15">
      <c r="B619" s="13"/>
      <c r="O619"/>
    </row>
    <row r="620" spans="2:15">
      <c r="B620" s="13"/>
      <c r="O620"/>
    </row>
    <row r="621" spans="2:15">
      <c r="B621" s="13"/>
      <c r="O621"/>
    </row>
    <row r="622" spans="2:15">
      <c r="B622" s="13"/>
      <c r="O622"/>
    </row>
    <row r="623" spans="2:15">
      <c r="B623" s="13"/>
      <c r="O623"/>
    </row>
    <row r="624" spans="2:15">
      <c r="B624" s="13"/>
      <c r="O624"/>
    </row>
    <row r="625" spans="2:15">
      <c r="B625" s="13"/>
      <c r="O625"/>
    </row>
    <row r="626" spans="2:15">
      <c r="B626" s="13"/>
      <c r="O626"/>
    </row>
    <row r="627" spans="2:15">
      <c r="B627" s="13"/>
      <c r="O627"/>
    </row>
    <row r="628" spans="2:15">
      <c r="B628" s="13"/>
      <c r="O628"/>
    </row>
    <row r="629" spans="2:15">
      <c r="B629" s="13"/>
      <c r="O629"/>
    </row>
    <row r="630" spans="2:15">
      <c r="B630" s="13"/>
      <c r="O630"/>
    </row>
    <row r="631" spans="2:15">
      <c r="B631" s="13"/>
      <c r="O631"/>
    </row>
    <row r="632" spans="2:15">
      <c r="B632" s="13"/>
      <c r="O632"/>
    </row>
    <row r="633" spans="2:15">
      <c r="B633" s="13"/>
      <c r="O633"/>
    </row>
    <row r="634" spans="2:15">
      <c r="B634" s="13"/>
      <c r="O634"/>
    </row>
    <row r="635" spans="2:15">
      <c r="B635" s="13"/>
      <c r="O635"/>
    </row>
    <row r="636" spans="2:15">
      <c r="B636" s="13"/>
      <c r="O636"/>
    </row>
    <row r="637" spans="2:15">
      <c r="B637" s="13"/>
      <c r="O637"/>
    </row>
    <row r="638" spans="2:15">
      <c r="B638" s="13"/>
      <c r="O638"/>
    </row>
    <row r="639" spans="2:15">
      <c r="B639" s="13"/>
      <c r="O639"/>
    </row>
    <row r="640" spans="2:15">
      <c r="B640" s="13"/>
      <c r="O640"/>
    </row>
    <row r="641" spans="2:15">
      <c r="B641" s="13"/>
      <c r="O641"/>
    </row>
    <row r="642" spans="2:15">
      <c r="B642" s="13"/>
      <c r="O642"/>
    </row>
    <row r="643" spans="2:15">
      <c r="B643" s="13"/>
      <c r="O643"/>
    </row>
    <row r="644" spans="2:15">
      <c r="B644" s="13"/>
      <c r="O644"/>
    </row>
    <row r="645" spans="2:15">
      <c r="B645" s="13"/>
      <c r="O645"/>
    </row>
    <row r="646" spans="2:15">
      <c r="B646" s="13"/>
      <c r="O646"/>
    </row>
    <row r="647" spans="2:15">
      <c r="B647" s="13"/>
      <c r="O647"/>
    </row>
    <row r="648" spans="2:15">
      <c r="B648" s="13"/>
      <c r="O648"/>
    </row>
    <row r="649" spans="2:15">
      <c r="B649" s="13"/>
      <c r="O649"/>
    </row>
    <row r="650" spans="2:15">
      <c r="B650" s="13"/>
      <c r="O650"/>
    </row>
    <row r="651" spans="2:15">
      <c r="B651" s="13"/>
      <c r="O651"/>
    </row>
    <row r="652" spans="2:15">
      <c r="B652" s="13"/>
      <c r="O652"/>
    </row>
    <row r="653" spans="2:15">
      <c r="B653" s="13"/>
      <c r="O653"/>
    </row>
    <row r="654" spans="2:15">
      <c r="B654" s="13"/>
      <c r="O654"/>
    </row>
    <row r="655" spans="2:15">
      <c r="B655" s="13"/>
      <c r="O655"/>
    </row>
    <row r="656" spans="2:15">
      <c r="B656" s="13"/>
      <c r="O656"/>
    </row>
    <row r="657" spans="2:15">
      <c r="B657" s="13"/>
      <c r="O657"/>
    </row>
    <row r="658" spans="2:15">
      <c r="B658" s="13"/>
      <c r="O658"/>
    </row>
    <row r="659" spans="2:15">
      <c r="B659" s="13"/>
      <c r="O659"/>
    </row>
    <row r="660" spans="2:15">
      <c r="B660" s="13"/>
      <c r="O660"/>
    </row>
    <row r="661" spans="2:15">
      <c r="B661" s="13"/>
      <c r="O661"/>
    </row>
    <row r="662" spans="2:15">
      <c r="B662" s="13"/>
      <c r="O662"/>
    </row>
    <row r="663" spans="2:15">
      <c r="B663" s="13"/>
      <c r="O663"/>
    </row>
    <row r="664" spans="2:15">
      <c r="B664" s="13"/>
      <c r="O664"/>
    </row>
    <row r="665" spans="2:15">
      <c r="B665" s="13"/>
      <c r="O665"/>
    </row>
    <row r="666" spans="2:15">
      <c r="B666" s="13"/>
      <c r="O666"/>
    </row>
    <row r="667" spans="2:15">
      <c r="B667" s="13"/>
      <c r="O667"/>
    </row>
    <row r="668" spans="2:15">
      <c r="B668" s="13"/>
      <c r="O668"/>
    </row>
    <row r="669" spans="2:15">
      <c r="B669" s="13"/>
      <c r="O669"/>
    </row>
    <row r="670" spans="2:15">
      <c r="B670" s="13"/>
      <c r="O670"/>
    </row>
    <row r="671" spans="2:15">
      <c r="B671" s="13"/>
      <c r="O671"/>
    </row>
    <row r="672" spans="2:15">
      <c r="B672" s="13"/>
      <c r="O672"/>
    </row>
    <row r="673" spans="2:15">
      <c r="B673" s="13"/>
      <c r="O673"/>
    </row>
    <row r="674" spans="2:15">
      <c r="B674" s="13"/>
      <c r="O674"/>
    </row>
    <row r="675" spans="2:15">
      <c r="B675" s="13"/>
      <c r="O675"/>
    </row>
    <row r="676" spans="2:15">
      <c r="B676" s="13"/>
      <c r="O676"/>
    </row>
    <row r="677" spans="2:15">
      <c r="B677" s="13"/>
      <c r="O677"/>
    </row>
    <row r="678" spans="2:15">
      <c r="B678" s="13"/>
      <c r="O678"/>
    </row>
    <row r="679" spans="2:15">
      <c r="B679" s="13"/>
      <c r="O679"/>
    </row>
    <row r="680" spans="2:15">
      <c r="B680" s="13"/>
      <c r="O680"/>
    </row>
    <row r="681" spans="2:15">
      <c r="B681" s="13"/>
      <c r="O681"/>
    </row>
    <row r="682" spans="2:15">
      <c r="B682" s="13"/>
      <c r="O682"/>
    </row>
    <row r="683" spans="2:15">
      <c r="B683" s="13"/>
      <c r="O683"/>
    </row>
    <row r="684" spans="2:15">
      <c r="B684" s="13"/>
      <c r="O684"/>
    </row>
    <row r="685" spans="2:15">
      <c r="B685" s="13"/>
      <c r="O685"/>
    </row>
    <row r="686" spans="2:15">
      <c r="B686" s="13"/>
      <c r="O686"/>
    </row>
    <row r="687" spans="2:15">
      <c r="B687" s="13"/>
      <c r="O687"/>
    </row>
    <row r="688" spans="2:15">
      <c r="B688" s="13"/>
      <c r="O688"/>
    </row>
    <row r="689" spans="2:15">
      <c r="B689" s="13"/>
      <c r="O689"/>
    </row>
    <row r="690" spans="2:15">
      <c r="B690" s="13"/>
      <c r="O690"/>
    </row>
    <row r="691" spans="2:15">
      <c r="B691" s="13"/>
      <c r="O691"/>
    </row>
    <row r="692" spans="2:15">
      <c r="B692" s="13"/>
      <c r="O692"/>
    </row>
    <row r="693" spans="2:15">
      <c r="B693" s="13"/>
      <c r="O693"/>
    </row>
    <row r="694" spans="2:15">
      <c r="B694" s="13"/>
      <c r="O694"/>
    </row>
    <row r="695" spans="2:15">
      <c r="B695" s="13"/>
      <c r="O695"/>
    </row>
    <row r="696" spans="2:15">
      <c r="B696" s="13"/>
      <c r="O696"/>
    </row>
    <row r="697" spans="2:15">
      <c r="B697" s="13"/>
      <c r="O697"/>
    </row>
    <row r="698" spans="2:15">
      <c r="B698" s="13"/>
      <c r="O698"/>
    </row>
    <row r="699" spans="2:15">
      <c r="B699" s="13"/>
      <c r="O699"/>
    </row>
    <row r="700" spans="2:15">
      <c r="B700" s="13"/>
      <c r="O700"/>
    </row>
    <row r="701" spans="2:15">
      <c r="B701" s="13"/>
      <c r="O701"/>
    </row>
    <row r="702" spans="2:15">
      <c r="B702" s="13"/>
      <c r="O702"/>
    </row>
    <row r="703" spans="2:15">
      <c r="B703" s="13"/>
      <c r="O703"/>
    </row>
    <row r="704" spans="2:15">
      <c r="B704" s="13"/>
      <c r="O704"/>
    </row>
    <row r="705" spans="2:15">
      <c r="B705" s="13"/>
      <c r="O705"/>
    </row>
    <row r="706" spans="2:15">
      <c r="B706" s="13"/>
      <c r="O706"/>
    </row>
    <row r="707" spans="2:15">
      <c r="B707" s="13"/>
      <c r="O707"/>
    </row>
    <row r="708" spans="2:15">
      <c r="B708" s="13"/>
      <c r="O708"/>
    </row>
    <row r="709" spans="2:15">
      <c r="B709" s="13"/>
      <c r="O709"/>
    </row>
    <row r="710" spans="2:15">
      <c r="B710" s="13"/>
      <c r="O710"/>
    </row>
    <row r="711" spans="2:15">
      <c r="B711" s="13"/>
      <c r="O711"/>
    </row>
    <row r="712" spans="2:15">
      <c r="B712" s="13"/>
      <c r="O712"/>
    </row>
    <row r="713" spans="2:15">
      <c r="B713" s="13"/>
      <c r="O713"/>
    </row>
    <row r="714" spans="2:15">
      <c r="B714" s="13"/>
      <c r="O714"/>
    </row>
    <row r="715" spans="2:15">
      <c r="B715" s="13"/>
      <c r="O715"/>
    </row>
    <row r="716" spans="2:15">
      <c r="B716" s="13"/>
      <c r="O716"/>
    </row>
    <row r="717" spans="2:15">
      <c r="B717" s="13"/>
      <c r="O717"/>
    </row>
    <row r="718" spans="2:15">
      <c r="B718" s="13"/>
      <c r="O718"/>
    </row>
    <row r="719" spans="2:15">
      <c r="B719" s="13"/>
      <c r="O719"/>
    </row>
    <row r="720" spans="2:15">
      <c r="B720" s="13"/>
      <c r="O720"/>
    </row>
    <row r="721" spans="2:15">
      <c r="B721" s="13"/>
      <c r="O721"/>
    </row>
    <row r="722" spans="2:15">
      <c r="B722" s="13"/>
      <c r="O722"/>
    </row>
    <row r="723" spans="2:15">
      <c r="B723" s="13"/>
      <c r="O723"/>
    </row>
    <row r="724" spans="2:15">
      <c r="B724" s="13"/>
      <c r="O724"/>
    </row>
    <row r="725" spans="2:15">
      <c r="B725" s="13"/>
      <c r="O725"/>
    </row>
    <row r="726" spans="2:15">
      <c r="B726" s="13"/>
      <c r="O726"/>
    </row>
    <row r="727" spans="2:15">
      <c r="B727" s="13"/>
      <c r="O727"/>
    </row>
    <row r="728" spans="2:15">
      <c r="B728" s="13"/>
      <c r="O728"/>
    </row>
    <row r="729" spans="2:15">
      <c r="B729" s="13"/>
      <c r="O729"/>
    </row>
    <row r="730" spans="2:15">
      <c r="B730" s="13"/>
      <c r="O730"/>
    </row>
    <row r="731" spans="2:15">
      <c r="B731" s="13"/>
      <c r="O731"/>
    </row>
    <row r="732" spans="2:15">
      <c r="B732" s="13"/>
      <c r="O732"/>
    </row>
    <row r="733" spans="2:15">
      <c r="B733" s="13"/>
      <c r="O733"/>
    </row>
    <row r="734" spans="2:15">
      <c r="B734" s="13"/>
      <c r="O734"/>
    </row>
    <row r="735" spans="2:15">
      <c r="B735" s="13"/>
      <c r="O735"/>
    </row>
    <row r="736" spans="2:15">
      <c r="B736" s="13"/>
      <c r="O736"/>
    </row>
    <row r="737" spans="2:15">
      <c r="B737" s="13"/>
      <c r="O737"/>
    </row>
    <row r="738" spans="2:15">
      <c r="B738" s="13"/>
      <c r="O738"/>
    </row>
    <row r="739" spans="2:15">
      <c r="B739" s="13"/>
      <c r="O739"/>
    </row>
    <row r="740" spans="2:15">
      <c r="B740" s="13"/>
      <c r="O740"/>
    </row>
    <row r="741" spans="2:15">
      <c r="B741" s="13"/>
      <c r="O741"/>
    </row>
    <row r="742" spans="2:15">
      <c r="B742" s="13"/>
      <c r="O742"/>
    </row>
    <row r="743" spans="2:15">
      <c r="B743" s="13"/>
      <c r="O743"/>
    </row>
    <row r="744" spans="2:15">
      <c r="B744" s="13"/>
      <c r="O744"/>
    </row>
    <row r="745" spans="2:15">
      <c r="B745" s="13"/>
      <c r="O745"/>
    </row>
    <row r="746" spans="2:15">
      <c r="B746" s="13"/>
      <c r="O746"/>
    </row>
    <row r="747" spans="2:15">
      <c r="B747" s="13"/>
      <c r="O747"/>
    </row>
    <row r="748" spans="2:15">
      <c r="B748" s="13"/>
      <c r="O748"/>
    </row>
    <row r="749" spans="2:15">
      <c r="B749" s="13"/>
      <c r="O749"/>
    </row>
    <row r="750" spans="2:15">
      <c r="B750" s="13"/>
      <c r="O750"/>
    </row>
    <row r="751" spans="2:15">
      <c r="B751" s="13"/>
      <c r="O751"/>
    </row>
    <row r="752" spans="2:15">
      <c r="B752" s="13"/>
      <c r="O752"/>
    </row>
    <row r="753" spans="2:15">
      <c r="B753" s="13"/>
      <c r="O753"/>
    </row>
    <row r="754" spans="2:15">
      <c r="B754" s="13"/>
      <c r="O754"/>
    </row>
    <row r="755" spans="2:15">
      <c r="B755" s="13"/>
      <c r="O755"/>
    </row>
    <row r="756" spans="2:15">
      <c r="B756" s="13"/>
      <c r="O756"/>
    </row>
    <row r="757" spans="2:15">
      <c r="B757" s="13"/>
      <c r="O757"/>
    </row>
    <row r="758" spans="2:15">
      <c r="B758" s="13"/>
      <c r="O758"/>
    </row>
    <row r="759" spans="2:15">
      <c r="B759" s="13"/>
      <c r="O759"/>
    </row>
    <row r="760" spans="2:15">
      <c r="B760" s="13"/>
      <c r="O760"/>
    </row>
    <row r="761" spans="2:15">
      <c r="B761" s="13"/>
      <c r="O761"/>
    </row>
    <row r="762" spans="2:15">
      <c r="B762" s="13"/>
      <c r="O762"/>
    </row>
    <row r="763" spans="2:15">
      <c r="B763" s="13"/>
      <c r="O763"/>
    </row>
    <row r="764" spans="2:15">
      <c r="B764" s="13"/>
      <c r="O764"/>
    </row>
    <row r="765" spans="2:15">
      <c r="B765" s="13"/>
      <c r="O765"/>
    </row>
    <row r="766" spans="2:15">
      <c r="B766" s="13"/>
      <c r="O766"/>
    </row>
    <row r="767" spans="2:15">
      <c r="B767" s="13"/>
      <c r="O767"/>
    </row>
    <row r="768" spans="2:15">
      <c r="B768" s="13"/>
      <c r="O768"/>
    </row>
    <row r="769" spans="2:15">
      <c r="B769" s="13"/>
      <c r="O769"/>
    </row>
    <row r="770" spans="2:15">
      <c r="B770" s="13"/>
      <c r="O770"/>
    </row>
    <row r="771" spans="2:15">
      <c r="B771" s="13"/>
      <c r="O771"/>
    </row>
    <row r="772" spans="2:15">
      <c r="B772" s="13"/>
      <c r="O772"/>
    </row>
    <row r="773" spans="2:15">
      <c r="B773" s="13"/>
      <c r="O773"/>
    </row>
    <row r="774" spans="2:15">
      <c r="B774" s="13"/>
      <c r="O774"/>
    </row>
    <row r="775" spans="2:15">
      <c r="B775" s="13"/>
      <c r="O775"/>
    </row>
    <row r="776" spans="2:15">
      <c r="B776" s="13"/>
      <c r="O776"/>
    </row>
    <row r="777" spans="2:15">
      <c r="B777" s="13"/>
      <c r="O777"/>
    </row>
    <row r="778" spans="2:15">
      <c r="B778" s="13"/>
      <c r="O778"/>
    </row>
    <row r="779" spans="2:15">
      <c r="B779" s="13"/>
      <c r="O779"/>
    </row>
    <row r="780" spans="2:15">
      <c r="B780" s="13"/>
      <c r="O780"/>
    </row>
    <row r="781" spans="2:15">
      <c r="B781" s="13"/>
      <c r="O781"/>
    </row>
    <row r="782" spans="2:15">
      <c r="B782" s="13"/>
      <c r="O782"/>
    </row>
    <row r="783" spans="2:15">
      <c r="B783" s="13"/>
      <c r="O783"/>
    </row>
    <row r="784" spans="2:15">
      <c r="B784" s="13"/>
      <c r="O784"/>
    </row>
    <row r="785" spans="2:15">
      <c r="B785" s="13"/>
      <c r="O785"/>
    </row>
    <row r="786" spans="2:15">
      <c r="B786" s="13"/>
      <c r="O786"/>
    </row>
    <row r="787" spans="2:15">
      <c r="B787" s="13"/>
      <c r="O787"/>
    </row>
    <row r="788" spans="2:15">
      <c r="B788" s="13"/>
      <c r="O788"/>
    </row>
    <row r="789" spans="2:15">
      <c r="B789" s="13"/>
      <c r="O789"/>
    </row>
    <row r="790" spans="2:15">
      <c r="B790" s="13"/>
      <c r="O790"/>
    </row>
    <row r="791" spans="2:15">
      <c r="B791" s="13"/>
      <c r="O791"/>
    </row>
    <row r="792" spans="2:15">
      <c r="B792" s="13"/>
      <c r="O792"/>
    </row>
    <row r="793" spans="2:15">
      <c r="B793" s="13"/>
      <c r="O793"/>
    </row>
    <row r="794" spans="2:15">
      <c r="B794" s="13"/>
      <c r="O794"/>
    </row>
    <row r="795" spans="2:15">
      <c r="B795" s="13"/>
      <c r="O795"/>
    </row>
    <row r="796" spans="2:15">
      <c r="B796" s="13"/>
      <c r="O796"/>
    </row>
    <row r="797" spans="2:15">
      <c r="B797" s="13"/>
      <c r="O797"/>
    </row>
    <row r="798" spans="2:15">
      <c r="B798" s="13"/>
      <c r="O798"/>
    </row>
    <row r="799" spans="2:15">
      <c r="B799" s="13"/>
      <c r="O799"/>
    </row>
    <row r="800" spans="2:15">
      <c r="B800" s="13"/>
      <c r="O800"/>
    </row>
    <row r="801" spans="2:15">
      <c r="B801" s="13"/>
      <c r="O801"/>
    </row>
    <row r="802" spans="2:15">
      <c r="B802" s="13"/>
      <c r="O802"/>
    </row>
    <row r="803" spans="2:15">
      <c r="B803" s="13"/>
      <c r="O803"/>
    </row>
    <row r="804" spans="2:15">
      <c r="B804" s="13"/>
      <c r="O804"/>
    </row>
    <row r="805" spans="2:15">
      <c r="B805" s="13"/>
      <c r="O805"/>
    </row>
    <row r="806" spans="2:15">
      <c r="B806" s="13"/>
      <c r="O806"/>
    </row>
    <row r="807" spans="2:15">
      <c r="B807" s="13"/>
      <c r="O807"/>
    </row>
    <row r="808" spans="2:15">
      <c r="B808" s="13"/>
      <c r="O808"/>
    </row>
    <row r="809" spans="2:15">
      <c r="B809" s="13"/>
      <c r="O809"/>
    </row>
    <row r="810" spans="2:15">
      <c r="B810" s="13"/>
      <c r="O810"/>
    </row>
    <row r="811" spans="2:15">
      <c r="B811" s="13"/>
      <c r="O811"/>
    </row>
    <row r="812" spans="2:15">
      <c r="B812" s="13"/>
      <c r="O812"/>
    </row>
    <row r="813" spans="2:15">
      <c r="B813" s="13"/>
      <c r="O813"/>
    </row>
    <row r="814" spans="2:15">
      <c r="B814" s="13"/>
      <c r="O814"/>
    </row>
    <row r="815" spans="2:15">
      <c r="B815" s="13"/>
      <c r="O815"/>
    </row>
    <row r="816" spans="2:15">
      <c r="B816" s="13"/>
      <c r="O816"/>
    </row>
    <row r="817" spans="2:15">
      <c r="B817" s="13"/>
      <c r="O817"/>
    </row>
    <row r="818" spans="2:15">
      <c r="B818" s="13"/>
      <c r="O818"/>
    </row>
    <row r="819" spans="2:15">
      <c r="B819" s="13"/>
      <c r="O819"/>
    </row>
    <row r="820" spans="2:15">
      <c r="B820" s="13"/>
      <c r="O820"/>
    </row>
    <row r="821" spans="2:15">
      <c r="B821" s="13"/>
    </row>
    <row r="822" spans="2:15">
      <c r="B822" s="13"/>
    </row>
    <row r="823" spans="2:15">
      <c r="B823" s="13"/>
    </row>
    <row r="824" spans="2:15">
      <c r="B824" s="13"/>
    </row>
    <row r="825" spans="2:15">
      <c r="B825" s="13"/>
    </row>
    <row r="826" spans="2:15">
      <c r="B826" s="13"/>
    </row>
    <row r="827" spans="2:15">
      <c r="B827" s="13"/>
    </row>
    <row r="828" spans="2:15">
      <c r="B828" s="13"/>
    </row>
    <row r="829" spans="2:15">
      <c r="B829" s="13"/>
    </row>
    <row r="830" spans="2:15">
      <c r="B830" s="13"/>
    </row>
    <row r="831" spans="2:15">
      <c r="B831" s="13"/>
    </row>
    <row r="832" spans="2:15">
      <c r="B832" s="13"/>
    </row>
    <row r="833" spans="2:15">
      <c r="B833" s="13"/>
    </row>
    <row r="834" spans="2:15">
      <c r="B834" s="13"/>
    </row>
    <row r="835" spans="2:15">
      <c r="B835" s="13"/>
    </row>
    <row r="836" spans="2:15">
      <c r="B836" s="13"/>
    </row>
    <row r="837" spans="2:15">
      <c r="B837" s="13"/>
    </row>
    <row r="838" spans="2:15">
      <c r="B838" s="13"/>
    </row>
    <row r="839" spans="2:15">
      <c r="B839" s="13"/>
    </row>
    <row r="840" spans="2:15">
      <c r="B840" s="13"/>
    </row>
    <row r="841" spans="2:15">
      <c r="B841" s="13"/>
    </row>
    <row r="842" spans="2:15">
      <c r="B842" s="13"/>
    </row>
    <row r="843" spans="2:15">
      <c r="B843" s="13"/>
    </row>
    <row r="844" spans="2:15">
      <c r="B844" s="13"/>
    </row>
    <row r="845" spans="2:15">
      <c r="B845" s="13"/>
    </row>
    <row r="846" spans="2:15">
      <c r="B846" s="13"/>
    </row>
    <row r="847" spans="2:15">
      <c r="B847" s="13"/>
    </row>
    <row r="848" spans="2:15" ht="15" customHeight="1">
      <c r="B848" s="20" t="s">
        <v>131</v>
      </c>
      <c r="C848" s="20" t="s">
        <v>132</v>
      </c>
      <c r="D848" s="20"/>
      <c r="E848" s="20" t="s">
        <v>133</v>
      </c>
      <c r="F848" s="20" t="s">
        <v>134</v>
      </c>
      <c r="G848" s="20" t="s">
        <v>135</v>
      </c>
      <c r="H848" s="20" t="s">
        <v>136</v>
      </c>
      <c r="I848" s="268" t="s">
        <v>1976</v>
      </c>
      <c r="K848" s="12"/>
      <c r="O848" s="118"/>
    </row>
    <row r="849" spans="2:15">
      <c r="B849" s="21">
        <v>92584</v>
      </c>
      <c r="C849" s="21" t="s">
        <v>137</v>
      </c>
      <c r="D849" s="21">
        <f t="shared" ref="D849:D880" si="15">IF($D$1=1,E:E,IF($D$1=2,F:F,IF($D$1=3,G:G,IF($D$1=4,H:H,IF($D$1=5,I:I)))))</f>
        <v>10</v>
      </c>
      <c r="E849" s="22">
        <v>10</v>
      </c>
      <c r="F849" s="18">
        <v>0.38059999999999999</v>
      </c>
      <c r="G849" s="18">
        <v>1.3332999999999999</v>
      </c>
      <c r="H849" s="18">
        <v>86.956500000000005</v>
      </c>
      <c r="K849" s="12"/>
      <c r="O849" s="118"/>
    </row>
    <row r="850" spans="2:15">
      <c r="B850" s="21">
        <v>92585</v>
      </c>
      <c r="C850" s="21" t="s">
        <v>138</v>
      </c>
      <c r="D850" s="21">
        <f t="shared" si="15"/>
        <v>10</v>
      </c>
      <c r="E850" s="22">
        <v>10</v>
      </c>
      <c r="F850" s="18">
        <v>0.38059999999999999</v>
      </c>
      <c r="G850" s="18">
        <v>1.3332999999999999</v>
      </c>
      <c r="H850" s="18">
        <v>86.956500000000005</v>
      </c>
      <c r="K850" s="12"/>
      <c r="O850" s="118"/>
    </row>
    <row r="851" spans="2:15">
      <c r="B851" s="21">
        <v>92586</v>
      </c>
      <c r="C851" s="21" t="s">
        <v>139</v>
      </c>
      <c r="D851" s="21">
        <f t="shared" si="15"/>
        <v>10</v>
      </c>
      <c r="E851" s="22">
        <v>10</v>
      </c>
      <c r="F851" s="18">
        <v>0.38059999999999999</v>
      </c>
      <c r="G851" s="18">
        <v>1.3332999999999999</v>
      </c>
      <c r="H851" s="18">
        <v>86.956500000000005</v>
      </c>
      <c r="K851" s="12"/>
      <c r="O851" s="118"/>
    </row>
    <row r="852" spans="2:15">
      <c r="B852" s="21">
        <v>92588</v>
      </c>
      <c r="C852" s="21" t="s">
        <v>140</v>
      </c>
      <c r="D852" s="21">
        <f t="shared" si="15"/>
        <v>19.38</v>
      </c>
      <c r="E852" s="22">
        <v>19.38</v>
      </c>
      <c r="F852" s="18">
        <v>0.81950000000000001</v>
      </c>
      <c r="G852" s="18">
        <v>2.5840000000000001</v>
      </c>
      <c r="H852" s="18">
        <v>168.52170000000001</v>
      </c>
      <c r="K852" s="12"/>
      <c r="O852"/>
    </row>
    <row r="853" spans="2:15">
      <c r="B853" s="21">
        <v>92596</v>
      </c>
      <c r="C853" s="21" t="s">
        <v>141</v>
      </c>
      <c r="D853" s="21">
        <f t="shared" si="15"/>
        <v>1.8</v>
      </c>
      <c r="E853" s="22">
        <v>1.8</v>
      </c>
      <c r="F853" s="18">
        <v>7.6100000000000001E-2</v>
      </c>
      <c r="G853" s="18">
        <v>0.24</v>
      </c>
      <c r="H853" s="18">
        <v>15.652200000000001</v>
      </c>
      <c r="K853" s="12"/>
      <c r="O853"/>
    </row>
    <row r="854" spans="2:15">
      <c r="B854" s="21">
        <v>92597</v>
      </c>
      <c r="C854" s="21" t="s">
        <v>142</v>
      </c>
      <c r="D854" s="21">
        <f t="shared" si="15"/>
        <v>2.2999999999999998</v>
      </c>
      <c r="E854" s="22">
        <v>2.2999999999999998</v>
      </c>
      <c r="F854" s="18">
        <v>9.7299999999999998E-2</v>
      </c>
      <c r="G854" s="18">
        <v>0.30669999999999997</v>
      </c>
      <c r="H854" s="18">
        <v>20</v>
      </c>
      <c r="K854" s="12"/>
      <c r="O854"/>
    </row>
    <row r="855" spans="2:15">
      <c r="B855" s="21">
        <v>92598</v>
      </c>
      <c r="C855" s="21" t="s">
        <v>143</v>
      </c>
      <c r="D855" s="21">
        <f t="shared" si="15"/>
        <v>1.8</v>
      </c>
      <c r="E855" s="22">
        <v>1.8</v>
      </c>
      <c r="F855" s="18">
        <v>7.6100000000000001E-2</v>
      </c>
      <c r="G855" s="18">
        <v>0.24</v>
      </c>
      <c r="H855" s="18">
        <v>15.652200000000001</v>
      </c>
      <c r="K855" s="12"/>
      <c r="O855"/>
    </row>
    <row r="856" spans="2:15">
      <c r="B856" s="21">
        <v>92599</v>
      </c>
      <c r="C856" s="21" t="s">
        <v>144</v>
      </c>
      <c r="D856" s="21">
        <f t="shared" si="15"/>
        <v>2.2999999999999998</v>
      </c>
      <c r="E856" s="22">
        <v>2.2999999999999998</v>
      </c>
      <c r="F856" s="18">
        <v>9.7299999999999998E-2</v>
      </c>
      <c r="G856" s="18">
        <v>0.30669999999999997</v>
      </c>
      <c r="H856" s="18">
        <v>20</v>
      </c>
      <c r="K856" s="12"/>
      <c r="O856"/>
    </row>
    <row r="857" spans="2:15">
      <c r="B857" s="21" t="s">
        <v>117</v>
      </c>
      <c r="C857" s="21" t="s">
        <v>145</v>
      </c>
      <c r="D857" s="21">
        <f t="shared" si="15"/>
        <v>4.6749999999999998</v>
      </c>
      <c r="E857" s="22">
        <v>4.6749999999999998</v>
      </c>
      <c r="F857" s="18">
        <v>0.19769999999999999</v>
      </c>
      <c r="G857" s="18">
        <v>0.62329999999999997</v>
      </c>
      <c r="H857" s="18">
        <v>40.652200000000001</v>
      </c>
      <c r="K857" s="12"/>
      <c r="O857"/>
    </row>
    <row r="858" spans="2:15">
      <c r="B858" s="21" t="s">
        <v>146</v>
      </c>
      <c r="C858" s="21" t="s">
        <v>147</v>
      </c>
      <c r="D858" s="21">
        <f t="shared" si="15"/>
        <v>2.3374999999999999</v>
      </c>
      <c r="E858" s="22">
        <v>2.3374999999999999</v>
      </c>
      <c r="F858" s="18">
        <v>9.8799999999999999E-2</v>
      </c>
      <c r="G858" s="18">
        <v>0.31169999999999998</v>
      </c>
      <c r="H858" s="18">
        <v>20.3261</v>
      </c>
      <c r="K858" s="12"/>
      <c r="O858"/>
    </row>
    <row r="859" spans="2:15">
      <c r="B859" s="21" t="s">
        <v>148</v>
      </c>
      <c r="C859" s="21" t="s">
        <v>149</v>
      </c>
      <c r="D859" s="21">
        <f t="shared" si="15"/>
        <v>1.925</v>
      </c>
      <c r="E859" s="22">
        <v>1.925</v>
      </c>
      <c r="F859" s="18">
        <v>8.14E-2</v>
      </c>
      <c r="G859" s="18">
        <v>0.25669999999999998</v>
      </c>
      <c r="H859" s="18">
        <v>16.739100000000001</v>
      </c>
      <c r="K859" s="12"/>
      <c r="O859"/>
    </row>
    <row r="860" spans="2:15" ht="15" customHeight="1">
      <c r="B860" s="21" t="s">
        <v>119</v>
      </c>
      <c r="C860" s="21" t="s">
        <v>150</v>
      </c>
      <c r="D860" s="21">
        <f t="shared" si="15"/>
        <v>2.3374999999999999</v>
      </c>
      <c r="E860" s="22">
        <v>2.3374999999999999</v>
      </c>
      <c r="F860" s="18">
        <v>9.8799999999999999E-2</v>
      </c>
      <c r="G860" s="18">
        <v>0.31169999999999998</v>
      </c>
      <c r="H860" s="18">
        <v>20.3261</v>
      </c>
      <c r="K860" s="12"/>
      <c r="O860"/>
    </row>
    <row r="861" spans="2:15">
      <c r="B861" s="21" t="s">
        <v>113</v>
      </c>
      <c r="C861" s="21" t="s">
        <v>151</v>
      </c>
      <c r="D861" s="21">
        <f t="shared" si="15"/>
        <v>1.925</v>
      </c>
      <c r="E861" s="22">
        <v>1.925</v>
      </c>
      <c r="F861" s="18">
        <v>8.14E-2</v>
      </c>
      <c r="G861" s="18">
        <v>0.25669999999999998</v>
      </c>
      <c r="H861" s="18">
        <v>16.739100000000001</v>
      </c>
      <c r="K861" s="12"/>
      <c r="O861"/>
    </row>
    <row r="862" spans="2:15">
      <c r="B862" s="21" t="s">
        <v>803</v>
      </c>
      <c r="C862" s="21" t="s">
        <v>152</v>
      </c>
      <c r="D862" s="21">
        <f t="shared" si="15"/>
        <v>0</v>
      </c>
      <c r="E862" s="22">
        <v>0</v>
      </c>
      <c r="F862" s="18">
        <v>0</v>
      </c>
      <c r="G862" s="18">
        <v>0</v>
      </c>
      <c r="H862" s="18">
        <v>0</v>
      </c>
      <c r="K862" s="12"/>
      <c r="O862"/>
    </row>
    <row r="863" spans="2:15">
      <c r="B863" s="21" t="s">
        <v>118</v>
      </c>
      <c r="C863" s="21" t="s">
        <v>153</v>
      </c>
      <c r="D863" s="21">
        <f t="shared" si="15"/>
        <v>39.049999999999997</v>
      </c>
      <c r="E863" s="22">
        <v>39.049999999999997</v>
      </c>
      <c r="F863" s="18">
        <v>1.6512</v>
      </c>
      <c r="G863" s="18">
        <v>5.2066999999999997</v>
      </c>
      <c r="H863" s="18">
        <v>339.5652</v>
      </c>
      <c r="K863" s="12"/>
      <c r="O863"/>
    </row>
    <row r="864" spans="2:15">
      <c r="B864" s="21" t="s">
        <v>116</v>
      </c>
      <c r="C864" s="21" t="s">
        <v>154</v>
      </c>
      <c r="D864" s="21">
        <f t="shared" si="15"/>
        <v>34.1</v>
      </c>
      <c r="E864" s="22">
        <v>34.1</v>
      </c>
      <c r="F864" s="18">
        <v>1.4419</v>
      </c>
      <c r="G864" s="18">
        <v>4.5467000000000004</v>
      </c>
      <c r="H864" s="18">
        <v>296.52170000000001</v>
      </c>
      <c r="K864" s="12"/>
      <c r="O864"/>
    </row>
    <row r="865" spans="2:15">
      <c r="B865" s="21" t="s">
        <v>115</v>
      </c>
      <c r="C865" s="21" t="s">
        <v>155</v>
      </c>
      <c r="D865" s="21">
        <f t="shared" si="15"/>
        <v>30.8</v>
      </c>
      <c r="E865" s="22">
        <v>30.8</v>
      </c>
      <c r="F865" s="18">
        <v>1.3023</v>
      </c>
      <c r="G865" s="18">
        <v>4.1067</v>
      </c>
      <c r="H865" s="18">
        <v>267.8261</v>
      </c>
      <c r="K865" s="12"/>
      <c r="O865"/>
    </row>
    <row r="866" spans="2:15">
      <c r="B866" s="21" t="s">
        <v>114</v>
      </c>
      <c r="C866" s="21" t="s">
        <v>156</v>
      </c>
      <c r="D866" s="21">
        <f t="shared" si="15"/>
        <v>30.8</v>
      </c>
      <c r="E866" s="22">
        <v>30.8</v>
      </c>
      <c r="F866" s="18">
        <v>1.3023</v>
      </c>
      <c r="G866" s="18">
        <v>4.1067</v>
      </c>
      <c r="H866" s="18">
        <v>267.8261</v>
      </c>
      <c r="K866" s="12"/>
      <c r="O866"/>
    </row>
    <row r="867" spans="2:15">
      <c r="B867" s="21" t="s">
        <v>120</v>
      </c>
      <c r="C867" s="21"/>
      <c r="D867" s="21">
        <f t="shared" si="15"/>
        <v>0</v>
      </c>
      <c r="E867" s="22"/>
      <c r="F867" s="18"/>
      <c r="G867" s="18"/>
      <c r="H867" s="18"/>
      <c r="K867" s="12"/>
      <c r="O867"/>
    </row>
    <row r="868" spans="2:15">
      <c r="B868" s="21">
        <v>92950</v>
      </c>
      <c r="C868" s="21" t="s">
        <v>221</v>
      </c>
      <c r="D868" s="21">
        <f t="shared" si="15"/>
        <v>7</v>
      </c>
      <c r="E868" s="22">
        <v>7</v>
      </c>
      <c r="F868" s="18">
        <v>0.26640000000000003</v>
      </c>
      <c r="G868" s="18">
        <v>0.875</v>
      </c>
      <c r="H868" s="18">
        <v>64.673900000000003</v>
      </c>
      <c r="K868" s="12"/>
      <c r="O868"/>
    </row>
    <row r="869" spans="2:15">
      <c r="B869" s="21">
        <v>0</v>
      </c>
      <c r="C869" s="21"/>
      <c r="D869" s="21">
        <f t="shared" si="15"/>
        <v>0</v>
      </c>
      <c r="E869" s="22"/>
      <c r="F869" s="18"/>
      <c r="G869" s="18"/>
      <c r="H869" s="18"/>
      <c r="K869" s="12"/>
      <c r="O869"/>
    </row>
    <row r="870" spans="2:15">
      <c r="B870" s="21">
        <v>93000</v>
      </c>
      <c r="C870" s="21" t="s">
        <v>157</v>
      </c>
      <c r="D870" s="21">
        <f t="shared" si="15"/>
        <v>30</v>
      </c>
      <c r="E870" s="22">
        <v>30</v>
      </c>
      <c r="F870" s="18">
        <v>1.1416999999999999</v>
      </c>
      <c r="G870" s="18">
        <v>3.75</v>
      </c>
      <c r="H870" s="18">
        <v>277.1739</v>
      </c>
      <c r="K870" s="12"/>
      <c r="O870"/>
    </row>
    <row r="871" spans="2:15">
      <c r="B871" s="21">
        <v>92951</v>
      </c>
      <c r="C871" s="21" t="s">
        <v>158</v>
      </c>
      <c r="D871" s="21">
        <f t="shared" si="15"/>
        <v>7.5</v>
      </c>
      <c r="E871" s="22">
        <v>7.5</v>
      </c>
      <c r="F871" s="18">
        <v>0.28539999999999999</v>
      </c>
      <c r="G871" s="18">
        <v>0.9375</v>
      </c>
      <c r="H871" s="18">
        <v>69.293499999999995</v>
      </c>
      <c r="K871" s="12"/>
      <c r="O871"/>
    </row>
    <row r="872" spans="2:15">
      <c r="B872" s="21">
        <v>92952</v>
      </c>
      <c r="C872" s="21" t="s">
        <v>159</v>
      </c>
      <c r="D872" s="21">
        <f t="shared" si="15"/>
        <v>7.5</v>
      </c>
      <c r="E872" s="22">
        <v>7.5</v>
      </c>
      <c r="F872" s="18">
        <v>0.28539999999999999</v>
      </c>
      <c r="G872" s="18">
        <v>0.9375</v>
      </c>
      <c r="H872" s="18">
        <v>69.293499999999995</v>
      </c>
      <c r="K872" s="12"/>
      <c r="O872"/>
    </row>
    <row r="873" spans="2:15" ht="15" customHeight="1">
      <c r="B873" s="21">
        <v>93903</v>
      </c>
      <c r="C873" s="21" t="s">
        <v>160</v>
      </c>
      <c r="D873" s="21">
        <f t="shared" si="15"/>
        <v>29.99963</v>
      </c>
      <c r="E873" s="22">
        <v>29.99963</v>
      </c>
      <c r="F873" s="18">
        <v>1.1415999999999999</v>
      </c>
      <c r="G873" s="18">
        <v>3.75</v>
      </c>
      <c r="H873" s="18">
        <v>277.1705</v>
      </c>
      <c r="K873" s="12"/>
      <c r="O873"/>
    </row>
    <row r="874" spans="2:15">
      <c r="B874" s="21">
        <v>92957</v>
      </c>
      <c r="C874" s="21" t="s">
        <v>161</v>
      </c>
      <c r="D874" s="21">
        <f t="shared" si="15"/>
        <v>25</v>
      </c>
      <c r="E874" s="22">
        <v>25</v>
      </c>
      <c r="F874" s="18">
        <v>0.95140000000000002</v>
      </c>
      <c r="G874" s="18">
        <v>3.125</v>
      </c>
      <c r="H874" s="18">
        <v>230.97829999999999</v>
      </c>
      <c r="K874" s="12"/>
      <c r="O874"/>
    </row>
    <row r="875" spans="2:15">
      <c r="B875" s="21">
        <v>92960</v>
      </c>
      <c r="C875" s="21" t="s">
        <v>162</v>
      </c>
      <c r="D875" s="21">
        <f t="shared" si="15"/>
        <v>2</v>
      </c>
      <c r="E875" s="22">
        <v>2</v>
      </c>
      <c r="F875" s="18">
        <v>7.6100000000000001E-2</v>
      </c>
      <c r="G875" s="18">
        <v>0.25</v>
      </c>
      <c r="H875" s="18">
        <v>18.478300000000001</v>
      </c>
      <c r="K875" s="12"/>
      <c r="O875"/>
    </row>
    <row r="876" spans="2:15">
      <c r="B876" s="21">
        <v>92962</v>
      </c>
      <c r="C876" s="21" t="s">
        <v>163</v>
      </c>
      <c r="D876" s="21">
        <f t="shared" si="15"/>
        <v>3</v>
      </c>
      <c r="E876" s="22">
        <v>3</v>
      </c>
      <c r="F876" s="18">
        <v>0.1142</v>
      </c>
      <c r="G876" s="18">
        <v>0.375</v>
      </c>
      <c r="H876" s="18">
        <v>27.717400000000001</v>
      </c>
      <c r="K876" s="12"/>
      <c r="O876"/>
    </row>
    <row r="877" spans="2:15">
      <c r="B877" s="21">
        <v>92961</v>
      </c>
      <c r="C877" s="21" t="s">
        <v>164</v>
      </c>
      <c r="D877" s="21">
        <f t="shared" si="15"/>
        <v>2.5</v>
      </c>
      <c r="E877" s="22">
        <v>2.5</v>
      </c>
      <c r="F877" s="18">
        <v>9.5100000000000004E-2</v>
      </c>
      <c r="G877" s="18">
        <v>0.3125</v>
      </c>
      <c r="H877" s="18">
        <v>23.097799999999999</v>
      </c>
      <c r="K877" s="12"/>
      <c r="O877"/>
    </row>
    <row r="878" spans="2:15">
      <c r="B878" s="21">
        <v>92963</v>
      </c>
      <c r="C878" s="21" t="s">
        <v>165</v>
      </c>
      <c r="D878" s="21">
        <f t="shared" si="15"/>
        <v>3</v>
      </c>
      <c r="E878" s="22">
        <v>3</v>
      </c>
      <c r="F878" s="18">
        <v>0.1142</v>
      </c>
      <c r="G878" s="18">
        <v>0.375</v>
      </c>
      <c r="H878" s="18">
        <v>27.717400000000001</v>
      </c>
      <c r="K878" s="12"/>
      <c r="O878"/>
    </row>
    <row r="879" spans="2:15">
      <c r="B879" s="21">
        <v>92986</v>
      </c>
      <c r="C879" s="21" t="s">
        <v>166</v>
      </c>
      <c r="D879" s="21">
        <f t="shared" si="15"/>
        <v>13</v>
      </c>
      <c r="E879" s="22">
        <v>13</v>
      </c>
      <c r="F879" s="18">
        <v>0.49469999999999997</v>
      </c>
      <c r="G879" s="18">
        <v>1.625</v>
      </c>
      <c r="H879" s="18">
        <v>120.1087</v>
      </c>
      <c r="K879" s="12"/>
      <c r="O879"/>
    </row>
    <row r="880" spans="2:15">
      <c r="B880" s="21">
        <v>92987</v>
      </c>
      <c r="C880" s="21" t="s">
        <v>167</v>
      </c>
      <c r="D880" s="21">
        <f t="shared" si="15"/>
        <v>13</v>
      </c>
      <c r="E880" s="22">
        <v>13</v>
      </c>
      <c r="F880" s="18">
        <v>0.49469999999999997</v>
      </c>
      <c r="G880" s="18">
        <v>1.625</v>
      </c>
      <c r="H880" s="18">
        <v>120.1087</v>
      </c>
      <c r="K880" s="12"/>
      <c r="O880"/>
    </row>
    <row r="881" spans="2:15">
      <c r="B881" s="21">
        <v>92988</v>
      </c>
      <c r="C881" s="21" t="s">
        <v>168</v>
      </c>
      <c r="D881" s="21">
        <f t="shared" ref="D881:D912" si="16">IF($D$1=1,E:E,IF($D$1=2,F:F,IF($D$1=3,G:G,IF($D$1=4,H:H,IF($D$1=5,I:I)))))</f>
        <v>13</v>
      </c>
      <c r="E881" s="22">
        <v>13</v>
      </c>
      <c r="F881" s="18">
        <v>0.49469999999999997</v>
      </c>
      <c r="G881" s="18">
        <v>1.625</v>
      </c>
      <c r="H881" s="18">
        <v>120.1087</v>
      </c>
      <c r="K881" s="12"/>
      <c r="O881"/>
    </row>
    <row r="882" spans="2:15">
      <c r="B882" s="21">
        <v>92972</v>
      </c>
      <c r="C882" s="21" t="s">
        <v>169</v>
      </c>
      <c r="D882" s="21">
        <f t="shared" si="16"/>
        <v>25</v>
      </c>
      <c r="E882" s="22">
        <v>25</v>
      </c>
      <c r="F882" s="18">
        <v>0.95140000000000002</v>
      </c>
      <c r="G882" s="18">
        <v>3.125</v>
      </c>
      <c r="H882" s="18">
        <v>230.97829999999999</v>
      </c>
      <c r="K882" s="12"/>
      <c r="O882"/>
    </row>
    <row r="883" spans="2:15">
      <c r="B883" s="21">
        <v>92971</v>
      </c>
      <c r="C883" s="21" t="s">
        <v>170</v>
      </c>
      <c r="D883" s="21">
        <f t="shared" si="16"/>
        <v>25</v>
      </c>
      <c r="E883" s="22">
        <v>25</v>
      </c>
      <c r="F883" s="18">
        <v>0.95140000000000002</v>
      </c>
      <c r="G883" s="18">
        <v>3.125</v>
      </c>
      <c r="H883" s="18">
        <v>230.97829999999999</v>
      </c>
      <c r="K883" s="12"/>
      <c r="O883"/>
    </row>
    <row r="884" spans="2:15">
      <c r="B884" s="21">
        <v>92973</v>
      </c>
      <c r="C884" s="21" t="s">
        <v>171</v>
      </c>
      <c r="D884" s="21">
        <f t="shared" si="16"/>
        <v>25</v>
      </c>
      <c r="E884" s="22">
        <v>25</v>
      </c>
      <c r="F884" s="18">
        <v>0.95140000000000002</v>
      </c>
      <c r="G884" s="18">
        <v>3.125</v>
      </c>
      <c r="H884" s="18">
        <v>230.97829999999999</v>
      </c>
      <c r="K884" s="12"/>
      <c r="O884"/>
    </row>
    <row r="885" spans="2:15">
      <c r="B885" s="21">
        <v>92991</v>
      </c>
      <c r="C885" s="21" t="s">
        <v>172</v>
      </c>
      <c r="D885" s="21">
        <f t="shared" si="16"/>
        <v>35</v>
      </c>
      <c r="E885" s="22">
        <v>35</v>
      </c>
      <c r="F885" s="18">
        <v>1.3319000000000001</v>
      </c>
      <c r="G885" s="18">
        <v>4.375</v>
      </c>
      <c r="H885" s="18">
        <v>323.36959999999999</v>
      </c>
      <c r="K885" s="12"/>
      <c r="O885"/>
    </row>
    <row r="886" spans="2:15">
      <c r="B886" s="21">
        <v>92975</v>
      </c>
      <c r="C886" s="21" t="s">
        <v>173</v>
      </c>
      <c r="D886" s="21">
        <f t="shared" si="16"/>
        <v>3</v>
      </c>
      <c r="E886" s="22">
        <v>3</v>
      </c>
      <c r="F886" s="18">
        <v>0.1142</v>
      </c>
      <c r="G886" s="18">
        <v>0.375</v>
      </c>
      <c r="H886" s="18">
        <v>27.717400000000001</v>
      </c>
      <c r="K886" s="12"/>
      <c r="O886"/>
    </row>
    <row r="887" spans="2:15">
      <c r="B887" s="21">
        <v>92968</v>
      </c>
      <c r="C887" s="21" t="s">
        <v>174</v>
      </c>
      <c r="D887" s="21">
        <f t="shared" si="16"/>
        <v>4</v>
      </c>
      <c r="E887" s="22">
        <v>4</v>
      </c>
      <c r="F887" s="18">
        <v>0.1522</v>
      </c>
      <c r="G887" s="18">
        <v>0.5</v>
      </c>
      <c r="H887" s="18">
        <v>36.956499999999998</v>
      </c>
      <c r="K887" s="12"/>
      <c r="O887"/>
    </row>
    <row r="888" spans="2:15">
      <c r="B888" s="21">
        <v>92974</v>
      </c>
      <c r="C888" s="21" t="s">
        <v>175</v>
      </c>
      <c r="D888" s="21">
        <f t="shared" si="16"/>
        <v>3.5</v>
      </c>
      <c r="E888" s="22">
        <v>3.5</v>
      </c>
      <c r="F888" s="18">
        <v>0.13320000000000001</v>
      </c>
      <c r="G888" s="18">
        <v>0.4375</v>
      </c>
      <c r="H888" s="18">
        <v>32.337000000000003</v>
      </c>
      <c r="K888" s="12"/>
      <c r="O888"/>
    </row>
    <row r="889" spans="2:15">
      <c r="B889" s="21">
        <v>92969</v>
      </c>
      <c r="C889" s="21" t="s">
        <v>176</v>
      </c>
      <c r="D889" s="21">
        <f t="shared" si="16"/>
        <v>4</v>
      </c>
      <c r="E889" s="22">
        <v>4</v>
      </c>
      <c r="F889" s="18">
        <v>0.1522</v>
      </c>
      <c r="G889" s="18">
        <v>0.5</v>
      </c>
      <c r="H889" s="18">
        <v>36.956499999999998</v>
      </c>
      <c r="K889" s="12"/>
      <c r="O889"/>
    </row>
    <row r="890" spans="2:15">
      <c r="B890" s="21">
        <v>93001</v>
      </c>
      <c r="C890" s="21" t="s">
        <v>177</v>
      </c>
      <c r="D890" s="21">
        <f t="shared" si="16"/>
        <v>17</v>
      </c>
      <c r="E890" s="22">
        <v>17</v>
      </c>
      <c r="F890" s="18">
        <v>0.79069999999999996</v>
      </c>
      <c r="G890" s="18">
        <v>2.2667000000000002</v>
      </c>
      <c r="H890" s="18">
        <v>157.0652</v>
      </c>
      <c r="K890" s="12"/>
      <c r="O890"/>
    </row>
    <row r="891" spans="2:15">
      <c r="B891" s="21">
        <v>93002</v>
      </c>
      <c r="C891" s="21" t="s">
        <v>178</v>
      </c>
      <c r="D891" s="21">
        <f t="shared" si="16"/>
        <v>17</v>
      </c>
      <c r="E891" s="22">
        <v>17</v>
      </c>
      <c r="F891" s="18">
        <v>0.79069999999999996</v>
      </c>
      <c r="G891" s="18">
        <v>2.2667000000000002</v>
      </c>
      <c r="H891" s="18">
        <v>157.0652</v>
      </c>
      <c r="K891" s="12"/>
      <c r="O891"/>
    </row>
    <row r="892" spans="2:15">
      <c r="B892" s="21">
        <v>93003</v>
      </c>
      <c r="C892" s="21" t="s">
        <v>179</v>
      </c>
      <c r="D892" s="21">
        <f t="shared" si="16"/>
        <v>17</v>
      </c>
      <c r="E892" s="22">
        <v>17</v>
      </c>
      <c r="F892" s="18">
        <v>0.79069999999999996</v>
      </c>
      <c r="G892" s="18">
        <v>2.2667000000000002</v>
      </c>
      <c r="H892" s="18">
        <v>157.0652</v>
      </c>
      <c r="K892" s="12"/>
      <c r="O892"/>
    </row>
    <row r="893" spans="2:15">
      <c r="B893" s="21">
        <v>93006</v>
      </c>
      <c r="C893" s="21" t="s">
        <v>180</v>
      </c>
      <c r="D893" s="21">
        <f t="shared" si="16"/>
        <v>40</v>
      </c>
      <c r="E893" s="22">
        <v>40</v>
      </c>
      <c r="F893" s="18">
        <v>1.8605</v>
      </c>
      <c r="G893" s="18">
        <v>5.3333000000000004</v>
      </c>
      <c r="H893" s="18">
        <v>369.5652</v>
      </c>
      <c r="K893" s="12"/>
      <c r="O893"/>
    </row>
    <row r="894" spans="2:15">
      <c r="B894" s="21">
        <v>93010</v>
      </c>
      <c r="C894" s="21" t="s">
        <v>181</v>
      </c>
      <c r="D894" s="21">
        <f t="shared" si="16"/>
        <v>9</v>
      </c>
      <c r="E894" s="22">
        <v>9</v>
      </c>
      <c r="F894" s="18">
        <v>0.41860000000000003</v>
      </c>
      <c r="G894" s="18">
        <v>1.2</v>
      </c>
      <c r="H894" s="18">
        <v>83.152199999999993</v>
      </c>
      <c r="K894" s="12"/>
      <c r="O894"/>
    </row>
    <row r="895" spans="2:15">
      <c r="B895" s="21">
        <v>93011</v>
      </c>
      <c r="C895" s="21" t="s">
        <v>182</v>
      </c>
      <c r="D895" s="21">
        <f t="shared" si="16"/>
        <v>10</v>
      </c>
      <c r="E895" s="22">
        <v>10</v>
      </c>
      <c r="F895" s="18">
        <v>0.46510000000000001</v>
      </c>
      <c r="G895" s="18">
        <v>1.3332999999999999</v>
      </c>
      <c r="H895" s="18">
        <v>92.391300000000001</v>
      </c>
      <c r="K895" s="12"/>
      <c r="O895"/>
    </row>
    <row r="896" spans="2:15">
      <c r="B896" s="21">
        <v>93012</v>
      </c>
      <c r="C896" s="21" t="s">
        <v>183</v>
      </c>
      <c r="D896" s="21">
        <f t="shared" si="16"/>
        <v>11</v>
      </c>
      <c r="E896" s="22">
        <v>11</v>
      </c>
      <c r="F896" s="18">
        <v>0.51160000000000005</v>
      </c>
      <c r="G896" s="18">
        <v>1.4666999999999999</v>
      </c>
      <c r="H896" s="18">
        <v>101.63039999999999</v>
      </c>
      <c r="K896" s="12"/>
      <c r="O896"/>
    </row>
    <row r="897" spans="2:15">
      <c r="B897" s="21">
        <v>93013</v>
      </c>
      <c r="C897" s="21" t="s">
        <v>184</v>
      </c>
      <c r="D897" s="21">
        <f t="shared" si="16"/>
        <v>12</v>
      </c>
      <c r="E897" s="22">
        <v>12</v>
      </c>
      <c r="F897" s="18">
        <v>0.55810000000000004</v>
      </c>
      <c r="G897" s="18">
        <v>1.6</v>
      </c>
      <c r="H897" s="18">
        <v>110.86960000000001</v>
      </c>
      <c r="K897" s="12"/>
      <c r="O897"/>
    </row>
    <row r="898" spans="2:15">
      <c r="B898" s="23"/>
      <c r="C898" s="18"/>
      <c r="D898" s="21">
        <f t="shared" si="16"/>
        <v>0</v>
      </c>
      <c r="E898" s="18"/>
      <c r="F898" s="18"/>
      <c r="G898" s="18"/>
      <c r="H898" s="18"/>
      <c r="K898" s="12"/>
      <c r="O898"/>
    </row>
    <row r="899" spans="2:15">
      <c r="B899" s="23">
        <v>12109</v>
      </c>
      <c r="C899" s="18" t="s">
        <v>675</v>
      </c>
      <c r="D899" s="21">
        <f t="shared" si="16"/>
        <v>63.00958</v>
      </c>
      <c r="E899" s="18">
        <v>63.00958</v>
      </c>
      <c r="F899" s="18">
        <v>2.2646000000000002</v>
      </c>
      <c r="G899" s="18">
        <v>8.8739000000000008</v>
      </c>
      <c r="H899" s="18">
        <v>616.3981</v>
      </c>
      <c r="K899" s="12"/>
      <c r="O899"/>
    </row>
    <row r="900" spans="2:15">
      <c r="B900" s="21">
        <v>12130</v>
      </c>
      <c r="C900" s="21" t="s">
        <v>185</v>
      </c>
      <c r="D900" s="21">
        <f t="shared" si="16"/>
        <v>72.46181</v>
      </c>
      <c r="E900" s="22">
        <v>72.46181</v>
      </c>
      <c r="F900" s="18">
        <v>2.6042999999999998</v>
      </c>
      <c r="G900" s="18">
        <v>10.205</v>
      </c>
      <c r="H900" s="18">
        <v>708.8655</v>
      </c>
      <c r="K900" s="12"/>
      <c r="O900"/>
    </row>
    <row r="901" spans="2:15">
      <c r="B901" s="21">
        <v>12121</v>
      </c>
      <c r="C901" s="21" t="s">
        <v>186</v>
      </c>
      <c r="D901" s="21">
        <f t="shared" si="16"/>
        <v>72.46181</v>
      </c>
      <c r="E901" s="22">
        <v>72.46181</v>
      </c>
      <c r="F901" s="18">
        <v>2.6042999999999998</v>
      </c>
      <c r="G901" s="18">
        <v>10.205</v>
      </c>
      <c r="H901" s="18">
        <v>708.8655</v>
      </c>
      <c r="K901" s="12"/>
      <c r="O901"/>
    </row>
    <row r="902" spans="2:15">
      <c r="B902" s="21">
        <v>12124</v>
      </c>
      <c r="C902" s="21" t="s">
        <v>187</v>
      </c>
      <c r="D902" s="21">
        <f t="shared" si="16"/>
        <v>72.46181</v>
      </c>
      <c r="E902" s="22">
        <v>72.46181</v>
      </c>
      <c r="F902" s="18">
        <v>2.6042999999999998</v>
      </c>
      <c r="G902" s="18">
        <v>10.205</v>
      </c>
      <c r="H902" s="18">
        <v>708.8655</v>
      </c>
      <c r="K902" s="12"/>
      <c r="O902"/>
    </row>
    <row r="903" spans="2:15">
      <c r="B903" s="21">
        <v>12104</v>
      </c>
      <c r="C903" s="21" t="s">
        <v>188</v>
      </c>
      <c r="D903" s="21">
        <f t="shared" si="16"/>
        <v>68.667379999999994</v>
      </c>
      <c r="E903" s="22">
        <v>68.667379999999994</v>
      </c>
      <c r="F903" s="18">
        <v>2.468</v>
      </c>
      <c r="G903" s="18">
        <v>9.6707000000000001</v>
      </c>
      <c r="H903" s="18">
        <v>671.74609999999996</v>
      </c>
      <c r="K903" s="12"/>
      <c r="O903"/>
    </row>
    <row r="904" spans="2:15">
      <c r="B904" s="21">
        <v>13030</v>
      </c>
      <c r="C904" s="21" t="s">
        <v>189</v>
      </c>
      <c r="D904" s="21">
        <f t="shared" si="16"/>
        <v>34.292349999999999</v>
      </c>
      <c r="E904" s="22">
        <v>34.292349999999999</v>
      </c>
      <c r="F904" s="18">
        <v>1.2324999999999999</v>
      </c>
      <c r="G904" s="18">
        <v>4.8295000000000003</v>
      </c>
      <c r="H904" s="18">
        <v>335.46859999999998</v>
      </c>
      <c r="K904" s="12"/>
      <c r="O904"/>
    </row>
    <row r="905" spans="2:15">
      <c r="B905" s="21">
        <v>12033</v>
      </c>
      <c r="C905" s="21" t="s">
        <v>190</v>
      </c>
      <c r="D905" s="21">
        <f t="shared" si="16"/>
        <v>37.96275</v>
      </c>
      <c r="E905" s="22">
        <v>37.96275</v>
      </c>
      <c r="F905" s="18">
        <v>1.3644000000000001</v>
      </c>
      <c r="G905" s="18">
        <v>5.3464</v>
      </c>
      <c r="H905" s="18">
        <v>371.37470000000002</v>
      </c>
      <c r="K905" s="12"/>
      <c r="O905"/>
    </row>
    <row r="906" spans="2:15">
      <c r="B906" s="21">
        <v>12034</v>
      </c>
      <c r="C906" s="21" t="s">
        <v>191</v>
      </c>
      <c r="D906" s="21">
        <f t="shared" si="16"/>
        <v>39.93347</v>
      </c>
      <c r="E906" s="22">
        <v>39.93347</v>
      </c>
      <c r="F906" s="18">
        <v>1.4352</v>
      </c>
      <c r="G906" s="18">
        <v>5.6239999999999997</v>
      </c>
      <c r="H906" s="18">
        <v>390.65350000000001</v>
      </c>
      <c r="K906" s="12"/>
      <c r="O906"/>
    </row>
    <row r="907" spans="2:15">
      <c r="B907" s="21">
        <v>118033</v>
      </c>
      <c r="C907" s="21" t="s">
        <v>805</v>
      </c>
      <c r="D907" s="21">
        <f t="shared" si="16"/>
        <v>0</v>
      </c>
      <c r="E907" s="22"/>
      <c r="F907" s="18"/>
      <c r="G907" s="18"/>
      <c r="H907" s="18"/>
      <c r="K907" s="12"/>
      <c r="O907"/>
    </row>
    <row r="908" spans="2:15">
      <c r="B908" s="21">
        <v>12105</v>
      </c>
      <c r="C908" s="21" t="s">
        <v>192</v>
      </c>
      <c r="D908" s="21">
        <f t="shared" si="16"/>
        <v>68.851129999999998</v>
      </c>
      <c r="E908" s="22">
        <v>68.851129999999998</v>
      </c>
      <c r="F908" s="18">
        <v>2.4746000000000001</v>
      </c>
      <c r="G908" s="18">
        <v>9.6965000000000003</v>
      </c>
      <c r="H908" s="18">
        <v>673.54369999999994</v>
      </c>
      <c r="K908" s="12"/>
      <c r="O908"/>
    </row>
    <row r="909" spans="2:15">
      <c r="B909" s="21">
        <v>12106</v>
      </c>
      <c r="C909" s="21" t="s">
        <v>193</v>
      </c>
      <c r="D909" s="21">
        <f t="shared" si="16"/>
        <v>62.658749999999998</v>
      </c>
      <c r="E909" s="22">
        <v>62.658749999999998</v>
      </c>
      <c r="F909" s="18">
        <v>2.2519999999999998</v>
      </c>
      <c r="G909" s="18">
        <v>8.8244000000000007</v>
      </c>
      <c r="H909" s="18">
        <v>612.96600000000001</v>
      </c>
      <c r="K909" s="12"/>
      <c r="O909"/>
    </row>
    <row r="910" spans="2:15">
      <c r="B910" s="21">
        <v>12107</v>
      </c>
      <c r="C910" s="21" t="s">
        <v>194</v>
      </c>
      <c r="D910" s="21">
        <f t="shared" si="16"/>
        <v>66.324560000000005</v>
      </c>
      <c r="E910" s="22">
        <v>66.324560000000005</v>
      </c>
      <c r="F910" s="18">
        <v>2.3837999999999999</v>
      </c>
      <c r="G910" s="18">
        <v>9.3407</v>
      </c>
      <c r="H910" s="18">
        <v>648.82719999999995</v>
      </c>
      <c r="K910" s="12"/>
      <c r="O910"/>
    </row>
    <row r="911" spans="2:15">
      <c r="B911" s="21">
        <v>12108</v>
      </c>
      <c r="C911" s="21" t="s">
        <v>195</v>
      </c>
      <c r="D911" s="21">
        <f t="shared" si="16"/>
        <v>66.517499999999998</v>
      </c>
      <c r="E911" s="22">
        <v>66.517499999999998</v>
      </c>
      <c r="F911" s="18">
        <v>2.3906999999999998</v>
      </c>
      <c r="G911" s="18">
        <v>9.3679000000000006</v>
      </c>
      <c r="H911" s="18">
        <v>650.71469999999999</v>
      </c>
      <c r="K911" s="12"/>
      <c r="O911"/>
    </row>
    <row r="912" spans="2:15">
      <c r="B912" s="21">
        <v>12002</v>
      </c>
      <c r="C912" s="21" t="s">
        <v>196</v>
      </c>
      <c r="D912" s="21">
        <f t="shared" si="16"/>
        <v>22.573689999999999</v>
      </c>
      <c r="E912" s="22">
        <v>22.573689999999999</v>
      </c>
      <c r="F912" s="18">
        <v>0.81130000000000002</v>
      </c>
      <c r="G912" s="18">
        <v>3.1791</v>
      </c>
      <c r="H912" s="18">
        <v>220.8296</v>
      </c>
      <c r="J912" s="12"/>
      <c r="O912"/>
    </row>
    <row r="913" spans="2:15">
      <c r="B913" s="21">
        <v>12005</v>
      </c>
      <c r="C913" s="21" t="s">
        <v>197</v>
      </c>
      <c r="D913" s="21">
        <f t="shared" ref="D913:D919" si="17">IF($D$1=1,E:E,IF($D$1=2,F:F,IF($D$1=3,G:G,IF($D$1=4,H:H,IF($D$1=5,I:I)))))</f>
        <v>26.2395</v>
      </c>
      <c r="E913" s="22">
        <v>26.2395</v>
      </c>
      <c r="F913" s="18">
        <v>0.94310000000000005</v>
      </c>
      <c r="G913" s="18">
        <v>3.6953999999999998</v>
      </c>
      <c r="H913" s="18">
        <v>256.69080000000002</v>
      </c>
      <c r="J913" s="12"/>
      <c r="O913"/>
    </row>
    <row r="914" spans="2:15">
      <c r="B914" s="21">
        <v>12008</v>
      </c>
      <c r="C914" s="21" t="s">
        <v>198</v>
      </c>
      <c r="D914" s="21">
        <f t="shared" si="17"/>
        <v>26.423249999999999</v>
      </c>
      <c r="E914" s="22">
        <v>26.423249999999999</v>
      </c>
      <c r="F914" s="18">
        <v>0.94969999999999999</v>
      </c>
      <c r="G914" s="18">
        <v>3.7212999999999998</v>
      </c>
      <c r="H914" s="18">
        <v>258.48829999999998</v>
      </c>
      <c r="J914" s="12"/>
      <c r="O914"/>
    </row>
    <row r="915" spans="2:15">
      <c r="B915" s="21">
        <v>12306</v>
      </c>
      <c r="C915" s="21" t="s">
        <v>199</v>
      </c>
      <c r="D915" s="21">
        <f t="shared" si="17"/>
        <v>4.2951600000000001</v>
      </c>
      <c r="E915" s="22">
        <v>4.2951600000000001</v>
      </c>
      <c r="F915" s="18">
        <v>0.15440000000000001</v>
      </c>
      <c r="G915" s="18">
        <v>0.60489999999999999</v>
      </c>
      <c r="H915" s="18">
        <v>42.017899999999997</v>
      </c>
      <c r="J915" s="12"/>
      <c r="O915"/>
    </row>
    <row r="916" spans="2:15">
      <c r="B916" s="21">
        <v>12318</v>
      </c>
      <c r="C916" s="21" t="s">
        <v>200</v>
      </c>
      <c r="D916" s="21">
        <f t="shared" si="17"/>
        <v>6.2750599999999999</v>
      </c>
      <c r="E916" s="22">
        <v>6.2750599999999999</v>
      </c>
      <c r="F916" s="18">
        <v>0.22550000000000001</v>
      </c>
      <c r="G916" s="18">
        <v>0.88370000000000004</v>
      </c>
      <c r="H916" s="18">
        <v>61.386499999999998</v>
      </c>
      <c r="K916" s="12"/>
      <c r="O916"/>
    </row>
    <row r="917" spans="2:15">
      <c r="B917" s="21">
        <v>12323</v>
      </c>
      <c r="C917" s="21" t="s">
        <v>201</v>
      </c>
      <c r="D917" s="21">
        <f t="shared" si="17"/>
        <v>16.073540000000001</v>
      </c>
      <c r="E917" s="22">
        <v>16.073540000000001</v>
      </c>
      <c r="F917" s="18">
        <v>0.57769999999999999</v>
      </c>
      <c r="G917" s="18">
        <v>2.2637</v>
      </c>
      <c r="H917" s="18">
        <v>157.24119999999999</v>
      </c>
      <c r="K917" s="12"/>
      <c r="O917"/>
    </row>
    <row r="918" spans="2:15">
      <c r="B918" s="21">
        <v>12319</v>
      </c>
      <c r="C918" s="21" t="s">
        <v>202</v>
      </c>
      <c r="D918" s="21">
        <f t="shared" si="17"/>
        <v>21.0945</v>
      </c>
      <c r="E918" s="22">
        <v>21.0945</v>
      </c>
      <c r="F918" s="18">
        <v>0.75819999999999999</v>
      </c>
      <c r="G918" s="18">
        <v>2.9708000000000001</v>
      </c>
      <c r="H918" s="18">
        <v>206.35919999999999</v>
      </c>
      <c r="K918" s="12"/>
      <c r="O918"/>
    </row>
    <row r="919" spans="2:15" ht="14.25" customHeight="1">
      <c r="B919" s="18">
        <v>12023</v>
      </c>
      <c r="C919" s="19" t="s">
        <v>656</v>
      </c>
      <c r="D919" s="21">
        <f t="shared" si="17"/>
        <v>36.267659999999999</v>
      </c>
      <c r="E919" s="18">
        <v>36.267659999999999</v>
      </c>
      <c r="F919" s="18">
        <v>1.3035000000000001</v>
      </c>
      <c r="G919" s="18">
        <v>5.1077000000000004</v>
      </c>
      <c r="H919" s="18">
        <v>354.79230000000001</v>
      </c>
      <c r="K919" s="12"/>
      <c r="O919"/>
    </row>
    <row r="920" spans="2:15" ht="14.25" customHeight="1">
      <c r="B920" s="2" t="s">
        <v>761</v>
      </c>
      <c r="C920" s="24"/>
      <c r="D920" s="25" t="s">
        <v>760</v>
      </c>
      <c r="E920" s="2" t="s">
        <v>759</v>
      </c>
      <c r="F920" s="25" t="s">
        <v>760</v>
      </c>
      <c r="G920" s="2" t="s">
        <v>759</v>
      </c>
      <c r="H920" s="2"/>
      <c r="K920" s="12"/>
      <c r="O920"/>
    </row>
    <row r="921" spans="2:15" ht="14.25" customHeight="1">
      <c r="B921" s="2" t="s">
        <v>747</v>
      </c>
      <c r="C921" s="24" t="s">
        <v>253</v>
      </c>
      <c r="D921" s="25" t="s">
        <v>762</v>
      </c>
      <c r="E921" s="2" t="s">
        <v>762</v>
      </c>
      <c r="F921" s="2" t="str">
        <f t="shared" ref="F921:F940" si="18">CONCATENATE(C921,"",D921)</f>
        <v>STRONG 30N(15580+15585)</v>
      </c>
      <c r="G921" s="2" t="str">
        <f t="shared" ref="G921:G940" si="19">CONCATENATE(C921,"",E921)</f>
        <v>STRONG 30N(15580+15585)</v>
      </c>
      <c r="H921" s="2"/>
      <c r="K921" s="12"/>
      <c r="O921"/>
    </row>
    <row r="922" spans="2:15" ht="14.25" customHeight="1">
      <c r="B922" s="2" t="s">
        <v>747</v>
      </c>
      <c r="C922" s="24" t="s">
        <v>254</v>
      </c>
      <c r="D922" s="25" t="s">
        <v>763</v>
      </c>
      <c r="E922" s="2" t="s">
        <v>763</v>
      </c>
      <c r="F922" s="2" t="str">
        <f t="shared" si="18"/>
        <v>STRONG 60N(15581+15585)</v>
      </c>
      <c r="G922" s="2" t="str">
        <f t="shared" si="19"/>
        <v>STRONG 60N(15581+15585)</v>
      </c>
      <c r="H922" s="2"/>
      <c r="K922" s="12"/>
      <c r="O922"/>
    </row>
    <row r="923" spans="2:15" ht="14.25" customHeight="1">
      <c r="B923" s="2" t="s">
        <v>747</v>
      </c>
      <c r="C923" s="24" t="s">
        <v>255</v>
      </c>
      <c r="D923" s="25" t="s">
        <v>764</v>
      </c>
      <c r="E923" s="2" t="s">
        <v>764</v>
      </c>
      <c r="F923" s="2" t="str">
        <f t="shared" si="18"/>
        <v>STRONG 80N(15582+15585)</v>
      </c>
      <c r="G923" s="2" t="str">
        <f t="shared" si="19"/>
        <v>STRONG 80N(15582+15585)</v>
      </c>
      <c r="H923" s="2"/>
      <c r="K923" s="12"/>
      <c r="O923"/>
    </row>
    <row r="924" spans="2:15" ht="14.25" customHeight="1">
      <c r="B924" s="2" t="s">
        <v>747</v>
      </c>
      <c r="C924" s="24" t="s">
        <v>256</v>
      </c>
      <c r="D924" s="25" t="s">
        <v>765</v>
      </c>
      <c r="E924" s="2" t="s">
        <v>765</v>
      </c>
      <c r="F924" s="2" t="str">
        <f t="shared" si="18"/>
        <v>STRONG 100N(15583+15585)</v>
      </c>
      <c r="G924" s="2" t="str">
        <f t="shared" si="19"/>
        <v>STRONG 100N(15583+15585)</v>
      </c>
      <c r="H924" s="2"/>
      <c r="K924" s="12"/>
      <c r="O924"/>
    </row>
    <row r="925" spans="2:15" ht="14.25" customHeight="1">
      <c r="B925" s="2" t="s">
        <v>747</v>
      </c>
      <c r="C925" s="24" t="s">
        <v>257</v>
      </c>
      <c r="D925" s="25" t="s">
        <v>766</v>
      </c>
      <c r="E925" s="2" t="s">
        <v>766</v>
      </c>
      <c r="F925" s="2" t="str">
        <f t="shared" si="18"/>
        <v>STRONG 120N(15584+15585)</v>
      </c>
      <c r="G925" s="2" t="str">
        <f t="shared" si="19"/>
        <v>STRONG 120N(15584+15585)</v>
      </c>
      <c r="H925" s="2"/>
      <c r="K925" s="12"/>
      <c r="O925"/>
    </row>
    <row r="926" spans="2:15" ht="14.25" customHeight="1">
      <c r="B926" s="2" t="s">
        <v>747</v>
      </c>
      <c r="C926" s="24" t="s">
        <v>768</v>
      </c>
      <c r="D926" s="25" t="s">
        <v>778</v>
      </c>
      <c r="E926" s="25" t="s">
        <v>774</v>
      </c>
      <c r="F926" s="2" t="str">
        <f t="shared" si="18"/>
        <v>HUWILIFT MAXI (A)(135040+135044+135024)</v>
      </c>
      <c r="G926" s="2" t="str">
        <f t="shared" si="19"/>
        <v>HUWILIFT MAXI (A)(135040+135044+135045)</v>
      </c>
      <c r="H926" s="2"/>
      <c r="K926" s="12"/>
      <c r="O926"/>
    </row>
    <row r="927" spans="2:15" ht="14.25" customHeight="1">
      <c r="B927" s="2" t="s">
        <v>747</v>
      </c>
      <c r="C927" s="24" t="s">
        <v>769</v>
      </c>
      <c r="D927" s="25" t="s">
        <v>771</v>
      </c>
      <c r="E927" s="25" t="s">
        <v>775</v>
      </c>
      <c r="F927" s="2" t="str">
        <f t="shared" si="18"/>
        <v>HUWILIFT MAXI (B)(135041+135044+135024)</v>
      </c>
      <c r="G927" s="2" t="str">
        <f t="shared" si="19"/>
        <v>HUWILIFT MAXI (B)(135041+135044+135045)</v>
      </c>
      <c r="H927" s="2"/>
      <c r="K927" s="12"/>
      <c r="O927"/>
    </row>
    <row r="928" spans="2:15" ht="14.25" customHeight="1">
      <c r="B928" s="2" t="s">
        <v>747</v>
      </c>
      <c r="C928" s="24" t="s">
        <v>794</v>
      </c>
      <c r="D928" s="25" t="s">
        <v>772</v>
      </c>
      <c r="E928" s="25" t="s">
        <v>776</v>
      </c>
      <c r="F928" s="2" t="str">
        <f t="shared" si="18"/>
        <v>HUWILIFT MAXI (C )(135042+135044+135024)</v>
      </c>
      <c r="G928" s="2" t="str">
        <f t="shared" si="19"/>
        <v>HUWILIFT MAXI (C )(135042+135044+135045)</v>
      </c>
      <c r="H928" s="2"/>
      <c r="K928" s="12"/>
      <c r="O928"/>
    </row>
    <row r="929" spans="2:15" ht="14.25" customHeight="1">
      <c r="B929" s="2" t="s">
        <v>747</v>
      </c>
      <c r="C929" s="24" t="s">
        <v>770</v>
      </c>
      <c r="D929" s="25" t="s">
        <v>773</v>
      </c>
      <c r="E929" s="25" t="s">
        <v>777</v>
      </c>
      <c r="F929" s="2" t="str">
        <f t="shared" si="18"/>
        <v>HUWILIFT MAXI (D)(135043+135044+135024)</v>
      </c>
      <c r="G929" s="2" t="str">
        <f t="shared" si="19"/>
        <v>HUWILIFT MAXI (D)(135043+135044+135045)</v>
      </c>
      <c r="H929" s="2"/>
      <c r="K929" s="12"/>
      <c r="O929"/>
    </row>
    <row r="930" spans="2:15" ht="14.25" customHeight="1">
      <c r="B930" s="2" t="s">
        <v>747</v>
      </c>
      <c r="C930" s="24" t="s">
        <v>749</v>
      </c>
      <c r="D930" s="25" t="s">
        <v>971</v>
      </c>
      <c r="E930" s="25" t="s">
        <v>779</v>
      </c>
      <c r="F930" s="2" t="str">
        <f t="shared" si="18"/>
        <v>KRABY 164 45N(135006+15595-9 +15598)</v>
      </c>
      <c r="G930" s="2" t="str">
        <f t="shared" si="19"/>
        <v>KRABY 164 45N(135006+15595+15596)</v>
      </c>
      <c r="H930" s="2"/>
      <c r="K930" s="12"/>
      <c r="O930"/>
    </row>
    <row r="931" spans="2:15" ht="14.25" customHeight="1">
      <c r="B931" s="2" t="s">
        <v>747</v>
      </c>
      <c r="C931" s="24" t="s">
        <v>750</v>
      </c>
      <c r="D931" s="25" t="s">
        <v>972</v>
      </c>
      <c r="E931" s="25" t="s">
        <v>780</v>
      </c>
      <c r="F931" s="2" t="str">
        <f t="shared" si="18"/>
        <v>KRABY 164 60N(135007+15595-9 +15598)</v>
      </c>
      <c r="G931" s="2" t="str">
        <f t="shared" si="19"/>
        <v>KRABY 164 60N(135007+15595+15596)</v>
      </c>
      <c r="H931" s="2"/>
      <c r="K931" s="12"/>
      <c r="O931"/>
    </row>
    <row r="932" spans="2:15" ht="14.25" customHeight="1">
      <c r="B932" s="2" t="s">
        <v>747</v>
      </c>
      <c r="C932" s="24" t="s">
        <v>751</v>
      </c>
      <c r="D932" s="25" t="s">
        <v>973</v>
      </c>
      <c r="E932" s="25" t="s">
        <v>781</v>
      </c>
      <c r="F932" s="2" t="str">
        <f t="shared" si="18"/>
        <v>KRABY 244 45N(15590+15595-9 +15598)</v>
      </c>
      <c r="G932" s="2" t="str">
        <f t="shared" si="19"/>
        <v>KRABY 244 45N(15590+15595+15596)</v>
      </c>
      <c r="H932" s="2"/>
      <c r="K932" s="12"/>
      <c r="O932"/>
    </row>
    <row r="933" spans="2:15" ht="14.25" customHeight="1">
      <c r="B933" s="2" t="s">
        <v>747</v>
      </c>
      <c r="C933" s="24" t="s">
        <v>752</v>
      </c>
      <c r="D933" s="25" t="s">
        <v>974</v>
      </c>
      <c r="E933" s="25" t="s">
        <v>782</v>
      </c>
      <c r="F933" s="2" t="str">
        <f t="shared" si="18"/>
        <v>KRABY 244 60N(15591+15595-9 +15598)</v>
      </c>
      <c r="G933" s="2" t="str">
        <f t="shared" si="19"/>
        <v>KRABY 244 60N(15591+15595+15596)</v>
      </c>
      <c r="H933" s="2"/>
      <c r="K933" s="12"/>
      <c r="O933"/>
    </row>
    <row r="934" spans="2:15" ht="14.25" customHeight="1">
      <c r="B934" s="2" t="s">
        <v>747</v>
      </c>
      <c r="C934" s="24" t="s">
        <v>753</v>
      </c>
      <c r="D934" s="25" t="s">
        <v>975</v>
      </c>
      <c r="E934" s="25" t="s">
        <v>783</v>
      </c>
      <c r="F934" s="2" t="str">
        <f t="shared" si="18"/>
        <v>KRABY 244 90N(15592+15595-9 +15598)</v>
      </c>
      <c r="G934" s="2" t="str">
        <f t="shared" si="19"/>
        <v>KRABY 244 90N(15592+15595+15596)</v>
      </c>
      <c r="H934" s="2"/>
      <c r="K934" s="12"/>
      <c r="O934"/>
    </row>
    <row r="935" spans="2:15" ht="14.25" customHeight="1">
      <c r="B935" s="2" t="s">
        <v>747</v>
      </c>
      <c r="C935" s="24" t="s">
        <v>754</v>
      </c>
      <c r="D935" s="25" t="s">
        <v>976</v>
      </c>
      <c r="E935" s="25" t="s">
        <v>784</v>
      </c>
      <c r="F935" s="2" t="str">
        <f t="shared" si="18"/>
        <v>KRABY 244 120N(15593+15595-9 +15598)</v>
      </c>
      <c r="G935" s="2" t="str">
        <f t="shared" si="19"/>
        <v>KRABY 244 120N(15593+15595+15596)</v>
      </c>
      <c r="H935" s="2"/>
      <c r="K935" s="12"/>
      <c r="O935"/>
    </row>
    <row r="936" spans="2:15" ht="14.25" customHeight="1">
      <c r="B936" s="2" t="s">
        <v>747</v>
      </c>
      <c r="C936" s="24" t="s">
        <v>755</v>
      </c>
      <c r="D936" s="25" t="s">
        <v>977</v>
      </c>
      <c r="E936" s="25" t="s">
        <v>785</v>
      </c>
      <c r="F936" s="2" t="str">
        <f t="shared" si="18"/>
        <v>KRABY 355 45N(135008+15595-9 +15598)</v>
      </c>
      <c r="G936" s="2" t="str">
        <f t="shared" si="19"/>
        <v>KRABY 355 45N(135008+15595+15596)</v>
      </c>
      <c r="H936" s="2"/>
      <c r="K936" s="12"/>
      <c r="O936"/>
    </row>
    <row r="937" spans="2:15" ht="14.25" customHeight="1">
      <c r="B937" s="2" t="s">
        <v>747</v>
      </c>
      <c r="C937" s="24" t="s">
        <v>756</v>
      </c>
      <c r="D937" s="25" t="s">
        <v>978</v>
      </c>
      <c r="E937" s="25" t="s">
        <v>786</v>
      </c>
      <c r="F937" s="2" t="str">
        <f t="shared" si="18"/>
        <v>KRABY 355 60N(135009+15595-9 +15598)</v>
      </c>
      <c r="G937" s="2" t="str">
        <f t="shared" si="19"/>
        <v>KRABY 355 60N(135009+15595+15596)</v>
      </c>
      <c r="H937" s="2"/>
      <c r="K937" s="12"/>
      <c r="O937"/>
    </row>
    <row r="938" spans="2:15" ht="14.25" customHeight="1">
      <c r="B938" s="2" t="s">
        <v>747</v>
      </c>
      <c r="C938" s="24" t="s">
        <v>757</v>
      </c>
      <c r="D938" s="25" t="s">
        <v>979</v>
      </c>
      <c r="E938" s="25" t="s">
        <v>787</v>
      </c>
      <c r="F938" s="2" t="str">
        <f t="shared" si="18"/>
        <v>KRABY 355 90N(135010+15595-9 +15598)</v>
      </c>
      <c r="G938" s="2" t="str">
        <f t="shared" si="19"/>
        <v>KRABY 355 90N(135010+15595+15596)</v>
      </c>
      <c r="H938" s="2"/>
      <c r="K938" s="12"/>
      <c r="O938"/>
    </row>
    <row r="939" spans="2:15" ht="14.25" customHeight="1">
      <c r="B939" s="2" t="s">
        <v>747</v>
      </c>
      <c r="C939" s="24" t="s">
        <v>758</v>
      </c>
      <c r="D939" s="25" t="s">
        <v>980</v>
      </c>
      <c r="E939" s="25" t="s">
        <v>788</v>
      </c>
      <c r="F939" s="2" t="str">
        <f t="shared" si="18"/>
        <v>KRABY 355 120N(135011+15595-9 +15598)</v>
      </c>
      <c r="G939" s="2" t="str">
        <f t="shared" si="19"/>
        <v>KRABY 355 120N(135011+15595+15596)</v>
      </c>
      <c r="H939" s="2"/>
      <c r="K939" s="12"/>
      <c r="O939"/>
    </row>
    <row r="940" spans="2:15" ht="14.25" customHeight="1">
      <c r="B940" s="2" t="s">
        <v>798</v>
      </c>
      <c r="C940" s="24" t="s">
        <v>852</v>
      </c>
      <c r="D940" s="25" t="s">
        <v>792</v>
      </c>
      <c r="E940" s="2" t="s">
        <v>793</v>
      </c>
      <c r="F940" s="2" t="str">
        <f t="shared" si="18"/>
        <v>HUWIL DUO (90°)(135017+135019+135024)</v>
      </c>
      <c r="G940" s="2" t="str">
        <f t="shared" si="19"/>
        <v>HUWIL DUO (90°)(135017+135019+135021)</v>
      </c>
      <c r="H940" s="2"/>
      <c r="K940" s="12"/>
      <c r="O940"/>
    </row>
    <row r="941" spans="2:15" ht="14.25" customHeight="1">
      <c r="B941" s="2" t="s">
        <v>748</v>
      </c>
      <c r="C941" s="24" t="s">
        <v>110</v>
      </c>
      <c r="D941" s="25" t="s">
        <v>767</v>
      </c>
      <c r="E941" s="2" t="s">
        <v>767</v>
      </c>
      <c r="F941" s="2" t="str">
        <f>CONCATENATE(C941,"",$B$250,"",D941)</f>
        <v>STRONGspodní(15490+15490)</v>
      </c>
      <c r="G941" s="2" t="str">
        <f>CONCATENATE(C941,"",$B$250,"",E941)</f>
        <v>STRONGspodní(15490+15490)</v>
      </c>
      <c r="H941" s="2"/>
      <c r="K941" s="12"/>
      <c r="O941"/>
    </row>
    <row r="942" spans="2:15" ht="14.25" customHeight="1">
      <c r="B942" s="2" t="s">
        <v>748</v>
      </c>
      <c r="C942" s="24" t="s">
        <v>795</v>
      </c>
      <c r="D942" s="25" t="s">
        <v>981</v>
      </c>
      <c r="E942" s="25" t="s">
        <v>789</v>
      </c>
      <c r="F942" s="2" t="str">
        <f>CONCATENATE(C942,"",$B$250,"",D942)</f>
        <v>KRABY 164spodní(15588+15595-9 +15598)</v>
      </c>
      <c r="G942" s="2" t="str">
        <f>CONCATENATE(C942,"",$B$250,"",E942)</f>
        <v>KRABY 164spodní(15588+15595+15596)</v>
      </c>
      <c r="H942" s="2"/>
      <c r="K942" s="12"/>
      <c r="O942"/>
    </row>
    <row r="943" spans="2:15" ht="14.25" customHeight="1">
      <c r="B943" s="2" t="s">
        <v>748</v>
      </c>
      <c r="C943" s="24" t="s">
        <v>796</v>
      </c>
      <c r="D943" s="25" t="s">
        <v>982</v>
      </c>
      <c r="E943" s="25" t="s">
        <v>790</v>
      </c>
      <c r="F943" s="2" t="str">
        <f>CONCATENATE(C943,"",$B$250,"",D943)</f>
        <v>KRABY 244spodní(15594+15595-9 +15598)</v>
      </c>
      <c r="G943" s="2" t="str">
        <f>CONCATENATE(C943,"",$B$250,"",E943)</f>
        <v>KRABY 244spodní(15594+15595+15596)</v>
      </c>
      <c r="H943" s="2"/>
      <c r="K943" s="12"/>
      <c r="O943"/>
    </row>
    <row r="944" spans="2:15" ht="14.25" customHeight="1">
      <c r="B944" s="2" t="s">
        <v>748</v>
      </c>
      <c r="C944" s="24" t="s">
        <v>797</v>
      </c>
      <c r="D944" s="25" t="s">
        <v>983</v>
      </c>
      <c r="E944" s="25" t="s">
        <v>791</v>
      </c>
      <c r="F944" s="2" t="str">
        <f>CONCATENATE(C944,"",$B$250,"",D944)</f>
        <v>KRABY 355spodní(15589+15595-9 +15598)</v>
      </c>
      <c r="G944" s="2" t="str">
        <f>CONCATENATE(C944,"",$B$250,"",E944)</f>
        <v>KRABY 355spodní(15589+15595+15596)</v>
      </c>
      <c r="H944" s="2"/>
      <c r="K944" s="12"/>
      <c r="O944"/>
    </row>
    <row r="945" spans="2:15" ht="14.25" customHeight="1">
      <c r="B945" s="2"/>
      <c r="C945" s="24"/>
      <c r="D945" s="25"/>
      <c r="E945" s="2"/>
      <c r="F945" s="2"/>
      <c r="G945" s="2"/>
      <c r="H945" s="2"/>
      <c r="K945" s="12"/>
      <c r="O945"/>
    </row>
    <row r="946" spans="2:15" ht="14.25" customHeight="1">
      <c r="B946" s="2"/>
      <c r="C946" s="24"/>
      <c r="D946" s="25"/>
      <c r="E946" s="2"/>
      <c r="F946" s="2"/>
      <c r="G946" s="2"/>
      <c r="H946" s="2"/>
      <c r="K946" s="12" t="s">
        <v>662</v>
      </c>
      <c r="O946"/>
    </row>
    <row r="947" spans="2:15" ht="14.25" customHeight="1">
      <c r="B947" s="2"/>
      <c r="C947" s="24"/>
      <c r="D947" s="25"/>
      <c r="E947" s="2"/>
      <c r="F947" s="2"/>
      <c r="G947" s="2"/>
      <c r="H947" s="2"/>
      <c r="K947" s="12"/>
      <c r="O947"/>
    </row>
    <row r="948" spans="2:15" ht="14.25" customHeight="1">
      <c r="B948" s="2"/>
      <c r="C948" s="24"/>
      <c r="D948" s="25"/>
      <c r="E948" s="2"/>
      <c r="F948" s="2"/>
      <c r="G948" s="2"/>
      <c r="H948" s="2"/>
      <c r="K948" s="12"/>
      <c r="O948"/>
    </row>
    <row r="949" spans="2:15" ht="14.25" customHeight="1">
      <c r="B949" s="2"/>
      <c r="C949" s="24"/>
      <c r="D949" s="25"/>
      <c r="E949" s="2"/>
      <c r="F949" s="2"/>
      <c r="G949" s="2"/>
      <c r="H949" s="2"/>
      <c r="K949" s="12"/>
      <c r="O949"/>
    </row>
    <row r="950" spans="2:15">
      <c r="B950" s="1">
        <v>15555</v>
      </c>
      <c r="C950" s="1" t="s">
        <v>229</v>
      </c>
      <c r="D950" s="25"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230</v>
      </c>
      <c r="D951" s="25"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231</v>
      </c>
      <c r="D952" s="25"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232</v>
      </c>
      <c r="D953" s="25"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233</v>
      </c>
      <c r="D954" s="25"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253</v>
      </c>
      <c r="D955" s="25"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254</v>
      </c>
      <c r="D956" s="25"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255</v>
      </c>
      <c r="D957" s="25"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256</v>
      </c>
      <c r="D958" s="25"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257</v>
      </c>
      <c r="D959" s="25"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235</v>
      </c>
      <c r="D960" s="25"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236</v>
      </c>
      <c r="D961" s="25"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237</v>
      </c>
      <c r="D962" s="25"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238</v>
      </c>
      <c r="D963" s="25"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624</v>
      </c>
      <c r="C964" s="1" t="s">
        <v>623</v>
      </c>
      <c r="D964" s="25" t="str">
        <f t="shared" si="20"/>
        <v>FGV-Aero Wing (AW007)</v>
      </c>
      <c r="E964">
        <f t="shared" si="21"/>
        <v>159</v>
      </c>
      <c r="F964">
        <v>159</v>
      </c>
      <c r="G964">
        <v>6.7229999999999999</v>
      </c>
      <c r="H964">
        <v>19.875</v>
      </c>
      <c r="I964">
        <v>1469.0217</v>
      </c>
      <c r="O964"/>
    </row>
    <row r="965" spans="2:15">
      <c r="B965" s="1">
        <v>15585</v>
      </c>
      <c r="C965" s="1" t="s">
        <v>365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234</v>
      </c>
      <c r="E966">
        <f t="shared" si="21"/>
        <v>10.8</v>
      </c>
      <c r="F966">
        <f t="shared" si="26"/>
        <v>10.8</v>
      </c>
      <c r="G966">
        <f t="shared" si="27"/>
        <v>0.45669999999999999</v>
      </c>
      <c r="H966">
        <f t="shared" si="28"/>
        <v>1.35</v>
      </c>
      <c r="I966">
        <f t="shared" si="29"/>
        <v>99.782600000000002</v>
      </c>
      <c r="O966"/>
    </row>
    <row r="967" spans="2:15">
      <c r="B967" s="1">
        <v>15595</v>
      </c>
      <c r="C967" s="1" t="s">
        <v>366</v>
      </c>
      <c r="E967">
        <f t="shared" si="21"/>
        <v>13.4</v>
      </c>
      <c r="F967">
        <f t="shared" si="26"/>
        <v>13.4</v>
      </c>
      <c r="G967">
        <f t="shared" si="27"/>
        <v>0.56659999999999999</v>
      </c>
      <c r="H967">
        <f t="shared" si="28"/>
        <v>1.675</v>
      </c>
      <c r="I967">
        <f t="shared" si="29"/>
        <v>123.8044</v>
      </c>
      <c r="O967"/>
    </row>
    <row r="968" spans="2:15">
      <c r="B968" s="1">
        <v>15596</v>
      </c>
      <c r="C968" s="1" t="s">
        <v>367</v>
      </c>
      <c r="E968">
        <f t="shared" si="21"/>
        <v>11.9</v>
      </c>
      <c r="F968">
        <f t="shared" si="26"/>
        <v>11.9</v>
      </c>
      <c r="G968">
        <f t="shared" si="27"/>
        <v>0.50319999999999998</v>
      </c>
      <c r="H968">
        <f t="shared" si="28"/>
        <v>1.4875</v>
      </c>
      <c r="I968">
        <f t="shared" si="29"/>
        <v>109.9457</v>
      </c>
      <c r="O968"/>
    </row>
    <row r="969" spans="2:15">
      <c r="B969" s="1">
        <v>15597</v>
      </c>
      <c r="C969" s="1" t="s">
        <v>368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369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370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9" t="s">
        <v>361</v>
      </c>
      <c r="C974" s="29" t="s">
        <v>33</v>
      </c>
      <c r="D974" s="29" t="s">
        <v>362</v>
      </c>
      <c r="E974" s="29" t="s">
        <v>363</v>
      </c>
      <c r="F974" s="29" t="s">
        <v>364</v>
      </c>
      <c r="G974" s="29" t="s">
        <v>135</v>
      </c>
      <c r="H974" s="29" t="s">
        <v>136</v>
      </c>
      <c r="O974"/>
    </row>
    <row r="975" spans="2:15">
      <c r="B975" s="26">
        <v>15500</v>
      </c>
      <c r="C975" s="28" t="s">
        <v>259</v>
      </c>
      <c r="D975" s="28" t="s">
        <v>260</v>
      </c>
      <c r="E975" s="27">
        <v>97.995000000000005</v>
      </c>
      <c r="F975" s="27">
        <v>4.1436000000000002</v>
      </c>
      <c r="G975" s="27">
        <v>13.066000000000001</v>
      </c>
      <c r="H975" s="27">
        <v>905.3886</v>
      </c>
      <c r="O975"/>
    </row>
    <row r="976" spans="2:15">
      <c r="B976" s="26">
        <v>15501</v>
      </c>
      <c r="C976" s="28" t="s">
        <v>261</v>
      </c>
      <c r="D976" s="28" t="s">
        <v>260</v>
      </c>
      <c r="E976" s="27">
        <v>31.957999999999998</v>
      </c>
      <c r="F976" s="27">
        <v>1.3512999999999999</v>
      </c>
      <c r="G976" s="27">
        <v>4.2610999999999999</v>
      </c>
      <c r="H976" s="27">
        <v>295.26409999999998</v>
      </c>
      <c r="O976"/>
    </row>
    <row r="977" spans="2:15">
      <c r="B977" s="26">
        <v>15502</v>
      </c>
      <c r="C977" s="28" t="s">
        <v>262</v>
      </c>
      <c r="D977" s="28" t="s">
        <v>260</v>
      </c>
      <c r="E977" s="27">
        <v>24.8</v>
      </c>
      <c r="F977" s="27">
        <v>1.0486</v>
      </c>
      <c r="G977" s="27">
        <v>3.3067000000000002</v>
      </c>
      <c r="H977" s="27">
        <v>229.13040000000001</v>
      </c>
      <c r="O977"/>
    </row>
    <row r="978" spans="2:15">
      <c r="B978" s="26">
        <v>15503</v>
      </c>
      <c r="C978" s="28" t="s">
        <v>263</v>
      </c>
      <c r="D978" s="28" t="s">
        <v>260</v>
      </c>
      <c r="E978" s="27">
        <v>36.042000000000002</v>
      </c>
      <c r="F978" s="27">
        <v>1.524</v>
      </c>
      <c r="G978" s="27">
        <v>4.8056000000000001</v>
      </c>
      <c r="H978" s="27">
        <v>332.99669999999998</v>
      </c>
      <c r="O978"/>
    </row>
    <row r="979" spans="2:15">
      <c r="B979" s="26">
        <v>15504</v>
      </c>
      <c r="C979" s="28" t="s">
        <v>264</v>
      </c>
      <c r="D979" s="28" t="s">
        <v>260</v>
      </c>
      <c r="E979" s="27">
        <v>32.917999999999999</v>
      </c>
      <c r="F979" s="27">
        <v>1.3918999999999999</v>
      </c>
      <c r="G979" s="27">
        <v>4.3891</v>
      </c>
      <c r="H979" s="27">
        <v>304.13369999999998</v>
      </c>
      <c r="O979"/>
    </row>
    <row r="980" spans="2:15">
      <c r="B980" s="26">
        <v>15505</v>
      </c>
      <c r="C980" s="28" t="s">
        <v>265</v>
      </c>
      <c r="D980" s="28" t="s">
        <v>260</v>
      </c>
      <c r="E980" s="27">
        <v>3.4950000000000001</v>
      </c>
      <c r="F980" s="27">
        <v>0.14779999999999999</v>
      </c>
      <c r="G980" s="27">
        <v>0.46600000000000003</v>
      </c>
      <c r="H980" s="27">
        <v>32.290799999999997</v>
      </c>
      <c r="O980"/>
    </row>
    <row r="981" spans="2:15">
      <c r="B981" s="26">
        <v>15506</v>
      </c>
      <c r="C981" s="28" t="s">
        <v>266</v>
      </c>
      <c r="D981" s="28" t="s">
        <v>260</v>
      </c>
      <c r="E981" s="27">
        <v>14.977</v>
      </c>
      <c r="F981" s="27">
        <v>0.63329999999999997</v>
      </c>
      <c r="G981" s="27">
        <v>1.9968999999999999</v>
      </c>
      <c r="H981" s="27">
        <v>138.37450000000001</v>
      </c>
      <c r="O981"/>
    </row>
    <row r="982" spans="2:15">
      <c r="B982" s="26">
        <v>15507</v>
      </c>
      <c r="C982" s="28" t="s">
        <v>267</v>
      </c>
      <c r="D982" s="28" t="s">
        <v>260</v>
      </c>
      <c r="E982" s="27">
        <v>39</v>
      </c>
      <c r="F982" s="27">
        <v>1.6491</v>
      </c>
      <c r="G982" s="27">
        <v>5.2</v>
      </c>
      <c r="H982" s="27">
        <v>360.3261</v>
      </c>
      <c r="O982"/>
    </row>
    <row r="983" spans="2:15">
      <c r="B983" s="26">
        <v>15508</v>
      </c>
      <c r="C983" s="28" t="s">
        <v>268</v>
      </c>
      <c r="D983" s="28" t="s">
        <v>260</v>
      </c>
      <c r="E983" s="27">
        <v>5</v>
      </c>
      <c r="F983" s="27">
        <v>0.2114</v>
      </c>
      <c r="G983" s="27">
        <v>0.66669999999999996</v>
      </c>
      <c r="H983" s="27">
        <v>46.195700000000002</v>
      </c>
      <c r="O983"/>
    </row>
    <row r="984" spans="2:15">
      <c r="B984" s="26">
        <v>15509</v>
      </c>
      <c r="C984" s="28" t="s">
        <v>269</v>
      </c>
      <c r="D984" s="28" t="s">
        <v>260</v>
      </c>
      <c r="E984" s="27">
        <v>2</v>
      </c>
      <c r="F984" s="27">
        <v>8.4599999999999995E-2</v>
      </c>
      <c r="G984" s="27">
        <v>0.26669999999999999</v>
      </c>
      <c r="H984" s="27">
        <v>18.478300000000001</v>
      </c>
      <c r="O984"/>
    </row>
    <row r="985" spans="2:15">
      <c r="B985" s="26">
        <v>15510</v>
      </c>
      <c r="C985" s="28" t="s">
        <v>270</v>
      </c>
      <c r="D985" s="28" t="s">
        <v>260</v>
      </c>
      <c r="E985" s="27">
        <v>4.9960000000000004</v>
      </c>
      <c r="F985" s="27">
        <v>0.21129999999999999</v>
      </c>
      <c r="G985" s="27">
        <v>0.54120000000000001</v>
      </c>
      <c r="H985" s="27">
        <v>40.728299999999997</v>
      </c>
      <c r="O985"/>
    </row>
    <row r="986" spans="2:15">
      <c r="B986" s="26">
        <v>15511</v>
      </c>
      <c r="C986" s="28" t="s">
        <v>271</v>
      </c>
      <c r="D986" s="28" t="s">
        <v>260</v>
      </c>
      <c r="E986" s="27">
        <v>2</v>
      </c>
      <c r="F986" s="27">
        <v>8.4599999999999995E-2</v>
      </c>
      <c r="G986" s="27">
        <v>0.26669999999999999</v>
      </c>
      <c r="H986" s="27">
        <v>18.478300000000001</v>
      </c>
      <c r="O986"/>
    </row>
    <row r="987" spans="2:15">
      <c r="B987" s="26">
        <v>15512</v>
      </c>
      <c r="C987" s="28" t="s">
        <v>272</v>
      </c>
      <c r="D987" s="28" t="s">
        <v>260</v>
      </c>
      <c r="E987" s="27">
        <v>121.8</v>
      </c>
      <c r="F987" s="27">
        <v>5.1501000000000001</v>
      </c>
      <c r="G987" s="27">
        <v>16.239999999999998</v>
      </c>
      <c r="H987" s="27">
        <v>1125.3261</v>
      </c>
      <c r="O987"/>
    </row>
    <row r="988" spans="2:15">
      <c r="B988" s="26">
        <v>15513</v>
      </c>
      <c r="C988" s="28" t="s">
        <v>273</v>
      </c>
      <c r="D988" s="28" t="s">
        <v>260</v>
      </c>
      <c r="E988" s="27">
        <v>117</v>
      </c>
      <c r="F988" s="27">
        <v>4.9471999999999996</v>
      </c>
      <c r="G988" s="27">
        <v>15.6</v>
      </c>
      <c r="H988" s="27">
        <v>1080.9783</v>
      </c>
      <c r="O988"/>
    </row>
    <row r="989" spans="2:15">
      <c r="B989" s="26">
        <v>15514</v>
      </c>
      <c r="C989" s="28" t="s">
        <v>274</v>
      </c>
      <c r="D989" s="28" t="s">
        <v>260</v>
      </c>
      <c r="E989" s="27">
        <v>4.9000000000000004</v>
      </c>
      <c r="F989" s="27">
        <v>0.2072</v>
      </c>
      <c r="G989" s="27">
        <v>0.65329999999999999</v>
      </c>
      <c r="H989" s="27">
        <v>45.271700000000003</v>
      </c>
      <c r="O989"/>
    </row>
    <row r="990" spans="2:15">
      <c r="B990" s="26">
        <v>15515</v>
      </c>
      <c r="C990" s="28" t="s">
        <v>275</v>
      </c>
      <c r="D990" s="28" t="s">
        <v>260</v>
      </c>
      <c r="E990" s="27">
        <v>1299</v>
      </c>
      <c r="F990" s="27">
        <v>54.926000000000002</v>
      </c>
      <c r="G990" s="27">
        <v>173.2</v>
      </c>
      <c r="H990" s="27">
        <v>12001.6304</v>
      </c>
      <c r="O990"/>
    </row>
    <row r="991" spans="2:15">
      <c r="B991" s="26">
        <v>15516</v>
      </c>
      <c r="C991" s="28" t="s">
        <v>276</v>
      </c>
      <c r="D991" s="28" t="s">
        <v>260</v>
      </c>
      <c r="E991" s="27">
        <v>1299</v>
      </c>
      <c r="F991" s="27">
        <v>54.926000000000002</v>
      </c>
      <c r="G991" s="27">
        <v>173.2</v>
      </c>
      <c r="H991" s="27">
        <v>12001.6304</v>
      </c>
      <c r="O991"/>
    </row>
    <row r="992" spans="2:15">
      <c r="B992" s="26">
        <v>15517</v>
      </c>
      <c r="C992" s="28" t="s">
        <v>277</v>
      </c>
      <c r="D992" s="28" t="s">
        <v>260</v>
      </c>
      <c r="E992" s="27">
        <v>59.4</v>
      </c>
      <c r="F992" s="27">
        <v>2.5116000000000001</v>
      </c>
      <c r="G992" s="27">
        <v>7.92</v>
      </c>
      <c r="H992" s="27">
        <v>548.80439999999999</v>
      </c>
      <c r="O992"/>
    </row>
    <row r="993" spans="2:15">
      <c r="B993" s="26">
        <v>15518</v>
      </c>
      <c r="C993" s="28" t="s">
        <v>278</v>
      </c>
      <c r="D993" s="28" t="s">
        <v>260</v>
      </c>
      <c r="E993" s="27">
        <v>3.4950000000000001</v>
      </c>
      <c r="F993" s="27">
        <v>0.14779999999999999</v>
      </c>
      <c r="G993" s="27">
        <v>0.46600000000000003</v>
      </c>
      <c r="H993" s="27">
        <v>32.290799999999997</v>
      </c>
      <c r="O993"/>
    </row>
    <row r="994" spans="2:15">
      <c r="B994" s="26">
        <v>15519</v>
      </c>
      <c r="C994" s="28" t="s">
        <v>279</v>
      </c>
      <c r="D994" s="28" t="s">
        <v>260</v>
      </c>
      <c r="E994" s="27">
        <v>78.245999999999995</v>
      </c>
      <c r="F994" s="27">
        <v>3.3085</v>
      </c>
      <c r="G994" s="27">
        <v>10.4328</v>
      </c>
      <c r="H994" s="27">
        <v>722.92499999999995</v>
      </c>
      <c r="O994"/>
    </row>
    <row r="995" spans="2:15">
      <c r="B995" s="26">
        <v>15520</v>
      </c>
      <c r="C995" s="28" t="s">
        <v>280</v>
      </c>
      <c r="D995" s="28" t="s">
        <v>260</v>
      </c>
      <c r="E995" s="27">
        <v>0.39900000000000002</v>
      </c>
      <c r="F995" s="27">
        <v>1.6899999999999998E-2</v>
      </c>
      <c r="G995" s="27">
        <v>5.3199999999999997E-2</v>
      </c>
      <c r="H995" s="27">
        <v>3.6863999999999999</v>
      </c>
      <c r="O995"/>
    </row>
    <row r="996" spans="2:15">
      <c r="B996" s="26">
        <v>15521</v>
      </c>
      <c r="C996" s="28" t="s">
        <v>281</v>
      </c>
      <c r="D996" s="28" t="s">
        <v>260</v>
      </c>
      <c r="E996" s="27">
        <v>153.56479999999999</v>
      </c>
      <c r="F996" s="27">
        <v>6.4931999999999999</v>
      </c>
      <c r="G996" s="27">
        <v>19.195599999999999</v>
      </c>
      <c r="H996" s="27">
        <v>1418.8052</v>
      </c>
      <c r="O996"/>
    </row>
    <row r="997" spans="2:15">
      <c r="B997" s="26">
        <v>15522</v>
      </c>
      <c r="C997" s="28" t="s">
        <v>282</v>
      </c>
      <c r="D997" s="28" t="s">
        <v>260</v>
      </c>
      <c r="E997" s="27">
        <v>159</v>
      </c>
      <c r="F997" s="27">
        <v>6.7229999999999999</v>
      </c>
      <c r="G997" s="27">
        <v>19.875</v>
      </c>
      <c r="H997" s="27">
        <v>1469.0217</v>
      </c>
      <c r="O997"/>
    </row>
    <row r="998" spans="2:15">
      <c r="B998" s="26">
        <v>15523</v>
      </c>
      <c r="C998" s="28" t="s">
        <v>283</v>
      </c>
      <c r="D998" s="28" t="s">
        <v>260</v>
      </c>
      <c r="E998" s="27">
        <v>159</v>
      </c>
      <c r="F998" s="27">
        <v>6.7229999999999999</v>
      </c>
      <c r="G998" s="27">
        <v>19.875</v>
      </c>
      <c r="H998" s="27">
        <v>1469.0217</v>
      </c>
      <c r="O998"/>
    </row>
    <row r="999" spans="2:15">
      <c r="B999" s="26">
        <v>15524</v>
      </c>
      <c r="C999" s="28" t="s">
        <v>284</v>
      </c>
      <c r="D999" s="28" t="s">
        <v>260</v>
      </c>
      <c r="E999" s="27">
        <v>1299</v>
      </c>
      <c r="F999" s="27">
        <v>54.926000000000002</v>
      </c>
      <c r="G999" s="27">
        <v>173.2</v>
      </c>
      <c r="H999" s="27">
        <v>12001.6304</v>
      </c>
      <c r="O999"/>
    </row>
    <row r="1000" spans="2:15">
      <c r="B1000" s="26">
        <v>15525</v>
      </c>
      <c r="C1000" s="28" t="s">
        <v>285</v>
      </c>
      <c r="D1000" s="28" t="s">
        <v>260</v>
      </c>
      <c r="E1000" s="27">
        <v>1189.92</v>
      </c>
      <c r="F1000" s="27">
        <v>50.313699999999997</v>
      </c>
      <c r="G1000" s="27">
        <v>148.74</v>
      </c>
      <c r="H1000" s="27">
        <v>10993.8261</v>
      </c>
      <c r="O1000"/>
    </row>
    <row r="1001" spans="2:15">
      <c r="B1001" s="26">
        <v>15526</v>
      </c>
      <c r="C1001" s="28" t="s">
        <v>286</v>
      </c>
      <c r="D1001" s="28" t="s">
        <v>260</v>
      </c>
      <c r="E1001" s="27">
        <v>150</v>
      </c>
      <c r="F1001" s="27">
        <v>6.3425000000000002</v>
      </c>
      <c r="G1001" s="27">
        <v>18.75</v>
      </c>
      <c r="H1001" s="27">
        <v>1385.8696</v>
      </c>
      <c r="O1001"/>
    </row>
    <row r="1002" spans="2:15">
      <c r="B1002" s="26">
        <v>15527</v>
      </c>
      <c r="C1002" s="28" t="s">
        <v>287</v>
      </c>
      <c r="D1002" s="28" t="s">
        <v>260</v>
      </c>
      <c r="E1002" s="27">
        <v>150</v>
      </c>
      <c r="F1002" s="27">
        <v>6.3425000000000002</v>
      </c>
      <c r="G1002" s="27">
        <v>18.75</v>
      </c>
      <c r="H1002" s="27">
        <v>1385.8696</v>
      </c>
      <c r="O1002"/>
    </row>
    <row r="1003" spans="2:15">
      <c r="B1003" s="26">
        <v>15528</v>
      </c>
      <c r="C1003" s="28" t="s">
        <v>288</v>
      </c>
      <c r="D1003" s="28" t="s">
        <v>260</v>
      </c>
      <c r="E1003" s="27">
        <v>348</v>
      </c>
      <c r="F1003" s="27">
        <v>14.714600000000001</v>
      </c>
      <c r="G1003" s="27">
        <v>43.5</v>
      </c>
      <c r="H1003" s="27">
        <v>3215.2174</v>
      </c>
      <c r="O1003"/>
    </row>
    <row r="1004" spans="2:15">
      <c r="B1004" s="26">
        <v>15529</v>
      </c>
      <c r="C1004" s="28" t="s">
        <v>289</v>
      </c>
      <c r="D1004" s="28" t="s">
        <v>260</v>
      </c>
      <c r="E1004" s="27">
        <v>149</v>
      </c>
      <c r="F1004" s="27">
        <v>6.3002000000000002</v>
      </c>
      <c r="G1004" s="27">
        <v>18.625</v>
      </c>
      <c r="H1004" s="27">
        <v>1376.6304</v>
      </c>
      <c r="O1004"/>
    </row>
    <row r="1005" spans="2:15">
      <c r="B1005" s="26">
        <v>15530</v>
      </c>
      <c r="C1005" s="28" t="s">
        <v>290</v>
      </c>
      <c r="D1005" s="28" t="s">
        <v>260</v>
      </c>
      <c r="E1005" s="27">
        <v>0.61109999999999998</v>
      </c>
      <c r="F1005" s="27">
        <v>2.58E-2</v>
      </c>
      <c r="G1005" s="27">
        <v>7.6399999999999996E-2</v>
      </c>
      <c r="H1005" s="27">
        <v>5.3139000000000003</v>
      </c>
      <c r="O1005"/>
    </row>
    <row r="1006" spans="2:15">
      <c r="B1006" s="26">
        <v>15531</v>
      </c>
      <c r="C1006" s="28" t="s">
        <v>291</v>
      </c>
      <c r="D1006" s="28" t="s">
        <v>260</v>
      </c>
      <c r="E1006" s="27">
        <v>299</v>
      </c>
      <c r="F1006" s="27">
        <v>12.6427</v>
      </c>
      <c r="G1006" s="27">
        <v>37.375</v>
      </c>
      <c r="H1006" s="27">
        <v>2762.5</v>
      </c>
      <c r="O1006"/>
    </row>
    <row r="1007" spans="2:15">
      <c r="B1007" s="26">
        <v>15532</v>
      </c>
      <c r="C1007" s="28" t="s">
        <v>292</v>
      </c>
      <c r="D1007" s="28" t="s">
        <v>260</v>
      </c>
      <c r="E1007" s="27">
        <v>299</v>
      </c>
      <c r="F1007" s="27">
        <v>12.6427</v>
      </c>
      <c r="G1007" s="27">
        <v>37.375</v>
      </c>
      <c r="H1007" s="27">
        <v>2762.5</v>
      </c>
      <c r="O1007"/>
    </row>
    <row r="1008" spans="2:15">
      <c r="B1008" s="26">
        <v>15533</v>
      </c>
      <c r="C1008" s="28" t="s">
        <v>293</v>
      </c>
      <c r="D1008" s="28" t="s">
        <v>260</v>
      </c>
      <c r="E1008" s="27">
        <v>199</v>
      </c>
      <c r="F1008" s="27">
        <v>8.4144000000000005</v>
      </c>
      <c r="G1008" s="27">
        <v>24.875</v>
      </c>
      <c r="H1008" s="27">
        <v>1838.587</v>
      </c>
      <c r="O1008"/>
    </row>
    <row r="1009" spans="2:15">
      <c r="B1009" s="26">
        <v>15534</v>
      </c>
      <c r="C1009" s="28" t="s">
        <v>294</v>
      </c>
      <c r="D1009" s="28" t="s">
        <v>260</v>
      </c>
      <c r="E1009" s="27">
        <v>199</v>
      </c>
      <c r="F1009" s="27">
        <v>8.4144000000000005</v>
      </c>
      <c r="G1009" s="27">
        <v>24.875</v>
      </c>
      <c r="H1009" s="27">
        <v>1838.587</v>
      </c>
      <c r="O1009"/>
    </row>
    <row r="1010" spans="2:15">
      <c r="B1010" s="26">
        <v>15535</v>
      </c>
      <c r="C1010" s="28" t="s">
        <v>295</v>
      </c>
      <c r="D1010" s="28" t="s">
        <v>260</v>
      </c>
      <c r="E1010" s="27">
        <v>199</v>
      </c>
      <c r="F1010" s="27">
        <v>8.4144000000000005</v>
      </c>
      <c r="G1010" s="27">
        <v>24.875</v>
      </c>
      <c r="H1010" s="27">
        <v>1838.587</v>
      </c>
      <c r="O1010"/>
    </row>
    <row r="1011" spans="2:15">
      <c r="B1011" s="26">
        <v>15536</v>
      </c>
      <c r="C1011" s="28" t="s">
        <v>296</v>
      </c>
      <c r="D1011" s="28" t="s">
        <v>260</v>
      </c>
      <c r="E1011" s="27">
        <v>199</v>
      </c>
      <c r="F1011" s="27">
        <v>8.4144000000000005</v>
      </c>
      <c r="G1011" s="27">
        <v>24.875</v>
      </c>
      <c r="H1011" s="27">
        <v>1838.587</v>
      </c>
      <c r="O1011"/>
    </row>
    <row r="1012" spans="2:15">
      <c r="B1012" s="26">
        <v>15537</v>
      </c>
      <c r="C1012" s="28" t="s">
        <v>297</v>
      </c>
      <c r="D1012" s="28" t="s">
        <v>260</v>
      </c>
      <c r="E1012" s="27">
        <v>199</v>
      </c>
      <c r="F1012" s="27">
        <v>8.4144000000000005</v>
      </c>
      <c r="G1012" s="27">
        <v>24.875</v>
      </c>
      <c r="H1012" s="27">
        <v>1838.587</v>
      </c>
      <c r="O1012"/>
    </row>
    <row r="1013" spans="2:15">
      <c r="B1013" s="26">
        <v>15538</v>
      </c>
      <c r="C1013" s="28" t="s">
        <v>298</v>
      </c>
      <c r="D1013" s="28" t="s">
        <v>260</v>
      </c>
      <c r="E1013" s="27">
        <v>10.8</v>
      </c>
      <c r="F1013" s="27">
        <v>0.45669999999999999</v>
      </c>
      <c r="G1013" s="27">
        <v>1.35</v>
      </c>
      <c r="H1013" s="27">
        <v>99.782600000000002</v>
      </c>
      <c r="O1013"/>
    </row>
    <row r="1014" spans="2:15">
      <c r="B1014" s="26">
        <v>15539</v>
      </c>
      <c r="C1014" s="28" t="s">
        <v>299</v>
      </c>
      <c r="D1014" s="28" t="s">
        <v>260</v>
      </c>
      <c r="E1014" s="27">
        <v>180</v>
      </c>
      <c r="F1014" s="27">
        <v>7.6109999999999998</v>
      </c>
      <c r="G1014" s="27">
        <v>22.5</v>
      </c>
      <c r="H1014" s="27">
        <v>1663.0435</v>
      </c>
      <c r="O1014"/>
    </row>
    <row r="1015" spans="2:15">
      <c r="B1015" s="26">
        <v>15540</v>
      </c>
      <c r="C1015" s="28" t="s">
        <v>300</v>
      </c>
      <c r="D1015" s="28" t="s">
        <v>260</v>
      </c>
      <c r="E1015" s="27">
        <v>180</v>
      </c>
      <c r="F1015" s="27">
        <v>7.6109999999999998</v>
      </c>
      <c r="G1015" s="27">
        <v>22.5</v>
      </c>
      <c r="H1015" s="27">
        <v>1663.0435</v>
      </c>
      <c r="O1015"/>
    </row>
    <row r="1016" spans="2:15">
      <c r="B1016" s="26">
        <v>15541</v>
      </c>
      <c r="C1016" s="28" t="s">
        <v>301</v>
      </c>
      <c r="D1016" s="28" t="s">
        <v>260</v>
      </c>
      <c r="E1016" s="27">
        <v>13.92</v>
      </c>
      <c r="F1016" s="27">
        <v>0.58860000000000001</v>
      </c>
      <c r="G1016" s="27">
        <v>1.8560000000000001</v>
      </c>
      <c r="H1016" s="27">
        <v>128.6087</v>
      </c>
      <c r="O1016"/>
    </row>
    <row r="1017" spans="2:15">
      <c r="B1017" s="26">
        <v>15542</v>
      </c>
      <c r="C1017" s="28" t="s">
        <v>302</v>
      </c>
      <c r="D1017" s="28" t="s">
        <v>260</v>
      </c>
      <c r="E1017" s="27">
        <v>4.4080000000000004</v>
      </c>
      <c r="F1017" s="27">
        <v>0.18640000000000001</v>
      </c>
      <c r="G1017" s="27">
        <v>0.5877</v>
      </c>
      <c r="H1017" s="27">
        <v>40.726100000000002</v>
      </c>
      <c r="O1017"/>
    </row>
    <row r="1018" spans="2:15">
      <c r="B1018" s="26">
        <v>15543</v>
      </c>
      <c r="C1018" s="28" t="s">
        <v>303</v>
      </c>
      <c r="D1018" s="28" t="s">
        <v>260</v>
      </c>
      <c r="E1018" s="27">
        <v>111.41200000000001</v>
      </c>
      <c r="F1018" s="27">
        <v>4.7108999999999996</v>
      </c>
      <c r="G1018" s="27">
        <v>14.854900000000001</v>
      </c>
      <c r="H1018" s="27">
        <v>1029.3499999999999</v>
      </c>
      <c r="O1018"/>
    </row>
    <row r="1019" spans="2:15">
      <c r="B1019" s="26">
        <v>15544</v>
      </c>
      <c r="C1019" s="28" t="s">
        <v>304</v>
      </c>
      <c r="D1019" s="28" t="s">
        <v>260</v>
      </c>
      <c r="E1019" s="27">
        <v>111.27200000000001</v>
      </c>
      <c r="F1019" s="27">
        <v>4.7050000000000001</v>
      </c>
      <c r="G1019" s="27">
        <v>14.8363</v>
      </c>
      <c r="H1019" s="27">
        <v>1028.0564999999999</v>
      </c>
      <c r="O1019"/>
    </row>
    <row r="1020" spans="2:15">
      <c r="B1020" s="26">
        <v>15545</v>
      </c>
      <c r="C1020" s="28" t="s">
        <v>305</v>
      </c>
      <c r="D1020" s="28" t="s">
        <v>260</v>
      </c>
      <c r="E1020" s="27">
        <v>1500</v>
      </c>
      <c r="F1020" s="27">
        <v>63.424999999999997</v>
      </c>
      <c r="G1020" s="27">
        <v>200</v>
      </c>
      <c r="H1020" s="27">
        <v>13858.6957</v>
      </c>
      <c r="O1020"/>
    </row>
    <row r="1021" spans="2:15">
      <c r="B1021" s="26">
        <v>15546</v>
      </c>
      <c r="C1021" s="28" t="s">
        <v>306</v>
      </c>
      <c r="D1021" s="28" t="s">
        <v>260</v>
      </c>
      <c r="E1021" s="27">
        <v>1599</v>
      </c>
      <c r="F1021" s="27">
        <v>67.611000000000004</v>
      </c>
      <c r="G1021" s="27">
        <v>213.2</v>
      </c>
      <c r="H1021" s="27">
        <v>14773.3696</v>
      </c>
      <c r="O1021"/>
    </row>
    <row r="1022" spans="2:15">
      <c r="B1022" s="26">
        <v>15547</v>
      </c>
      <c r="C1022" s="28" t="s">
        <v>307</v>
      </c>
      <c r="D1022" s="28" t="s">
        <v>260</v>
      </c>
      <c r="E1022" s="27">
        <v>1599</v>
      </c>
      <c r="F1022" s="27">
        <v>67.611000000000004</v>
      </c>
      <c r="G1022" s="27">
        <v>213.2</v>
      </c>
      <c r="H1022" s="27">
        <v>14773.3696</v>
      </c>
      <c r="O1022"/>
    </row>
    <row r="1023" spans="2:15">
      <c r="B1023" s="26">
        <v>15548</v>
      </c>
      <c r="C1023" s="28" t="s">
        <v>308</v>
      </c>
      <c r="D1023" s="28" t="s">
        <v>260</v>
      </c>
      <c r="E1023" s="27">
        <v>230.86</v>
      </c>
      <c r="F1023" s="27">
        <v>9.7614999999999998</v>
      </c>
      <c r="G1023" s="27">
        <v>30.781300000000002</v>
      </c>
      <c r="H1023" s="27">
        <v>2132.9457000000002</v>
      </c>
      <c r="O1023"/>
    </row>
    <row r="1024" spans="2:15">
      <c r="B1024" s="26">
        <v>15549</v>
      </c>
      <c r="C1024" s="28" t="s">
        <v>309</v>
      </c>
      <c r="D1024" s="28" t="s">
        <v>260</v>
      </c>
      <c r="E1024" s="27">
        <v>111.09</v>
      </c>
      <c r="F1024" s="27">
        <v>4.6973000000000003</v>
      </c>
      <c r="G1024" s="27">
        <v>14.811999999999999</v>
      </c>
      <c r="H1024" s="27">
        <v>1026.375</v>
      </c>
      <c r="O1024"/>
    </row>
    <row r="1025" spans="2:15">
      <c r="B1025" s="26">
        <v>15550</v>
      </c>
      <c r="C1025" s="28" t="s">
        <v>310</v>
      </c>
      <c r="D1025" s="28" t="s">
        <v>260</v>
      </c>
      <c r="E1025" s="27">
        <v>64.300319999999999</v>
      </c>
      <c r="F1025" s="27">
        <v>2.7187999999999999</v>
      </c>
      <c r="G1025" s="27">
        <v>8.5733999999999995</v>
      </c>
      <c r="H1025" s="27">
        <v>559.13319999999999</v>
      </c>
      <c r="O1025"/>
    </row>
    <row r="1026" spans="2:15">
      <c r="B1026" s="26">
        <v>15551</v>
      </c>
      <c r="C1026" s="28" t="s">
        <v>311</v>
      </c>
      <c r="D1026" s="28" t="s">
        <v>260</v>
      </c>
      <c r="E1026" s="27">
        <v>73.426640000000006</v>
      </c>
      <c r="F1026" s="27">
        <v>3.1046999999999998</v>
      </c>
      <c r="G1026" s="27">
        <v>9.7902000000000005</v>
      </c>
      <c r="H1026" s="27">
        <v>638.49249999999995</v>
      </c>
      <c r="O1026"/>
    </row>
    <row r="1027" spans="2:15">
      <c r="B1027" s="26">
        <v>15552</v>
      </c>
      <c r="C1027" s="28" t="s">
        <v>312</v>
      </c>
      <c r="D1027" s="28" t="s">
        <v>260</v>
      </c>
      <c r="E1027" s="27">
        <v>7</v>
      </c>
      <c r="F1027" s="27">
        <v>0.29599999999999999</v>
      </c>
      <c r="G1027" s="27">
        <v>0.93330000000000002</v>
      </c>
      <c r="H1027" s="27">
        <v>60.869599999999998</v>
      </c>
      <c r="O1027"/>
    </row>
    <row r="1028" spans="2:15">
      <c r="B1028" s="26">
        <v>15553</v>
      </c>
      <c r="C1028" s="28" t="s">
        <v>313</v>
      </c>
      <c r="D1028" s="28" t="s">
        <v>260</v>
      </c>
      <c r="E1028" s="27">
        <v>6.9160000000000004</v>
      </c>
      <c r="F1028" s="27">
        <v>0.29239999999999999</v>
      </c>
      <c r="G1028" s="27">
        <v>0.92210000000000003</v>
      </c>
      <c r="H1028" s="27">
        <v>63.897799999999997</v>
      </c>
      <c r="O1028"/>
    </row>
    <row r="1029" spans="2:15">
      <c r="B1029" s="26">
        <v>15554</v>
      </c>
      <c r="C1029" s="28" t="s">
        <v>314</v>
      </c>
      <c r="D1029" s="28" t="s">
        <v>260</v>
      </c>
      <c r="E1029" s="27">
        <v>103.5</v>
      </c>
      <c r="F1029" s="27">
        <v>4.3762999999999996</v>
      </c>
      <c r="G1029" s="27">
        <v>13.8</v>
      </c>
      <c r="H1029" s="27">
        <v>956.25</v>
      </c>
      <c r="O1029"/>
    </row>
    <row r="1030" spans="2:15">
      <c r="B1030" s="26">
        <v>15555</v>
      </c>
      <c r="C1030" s="28" t="s">
        <v>315</v>
      </c>
      <c r="D1030" s="28" t="s">
        <v>260</v>
      </c>
      <c r="E1030" s="27">
        <v>199</v>
      </c>
      <c r="F1030" s="27">
        <v>8.4144000000000005</v>
      </c>
      <c r="G1030" s="27">
        <v>24.875</v>
      </c>
      <c r="H1030" s="27">
        <v>1838.587</v>
      </c>
      <c r="O1030"/>
    </row>
    <row r="1031" spans="2:15">
      <c r="B1031" s="26">
        <v>15556</v>
      </c>
      <c r="C1031" s="28" t="s">
        <v>316</v>
      </c>
      <c r="D1031" s="28" t="s">
        <v>260</v>
      </c>
      <c r="E1031" s="27">
        <v>199</v>
      </c>
      <c r="F1031" s="27">
        <v>8.4144000000000005</v>
      </c>
      <c r="G1031" s="27">
        <v>24.875</v>
      </c>
      <c r="H1031" s="27">
        <v>1838.587</v>
      </c>
      <c r="O1031"/>
    </row>
    <row r="1032" spans="2:15">
      <c r="B1032" s="26">
        <v>15557</v>
      </c>
      <c r="C1032" s="28" t="s">
        <v>317</v>
      </c>
      <c r="D1032" s="28" t="s">
        <v>260</v>
      </c>
      <c r="E1032" s="27">
        <v>199</v>
      </c>
      <c r="F1032" s="27">
        <v>8.4144000000000005</v>
      </c>
      <c r="G1032" s="27">
        <v>24.875</v>
      </c>
      <c r="H1032" s="27">
        <v>1838.587</v>
      </c>
      <c r="O1032"/>
    </row>
    <row r="1033" spans="2:15">
      <c r="B1033" s="26">
        <v>15558</v>
      </c>
      <c r="C1033" s="28" t="s">
        <v>318</v>
      </c>
      <c r="D1033" s="28" t="s">
        <v>260</v>
      </c>
      <c r="E1033" s="27">
        <v>199</v>
      </c>
      <c r="F1033" s="27">
        <v>8.4144000000000005</v>
      </c>
      <c r="G1033" s="27">
        <v>24.875</v>
      </c>
      <c r="H1033" s="27">
        <v>1838.587</v>
      </c>
      <c r="O1033"/>
    </row>
    <row r="1034" spans="2:15">
      <c r="B1034" s="26">
        <v>15559</v>
      </c>
      <c r="C1034" s="28" t="s">
        <v>319</v>
      </c>
      <c r="D1034" s="28" t="s">
        <v>260</v>
      </c>
      <c r="E1034" s="27">
        <v>199</v>
      </c>
      <c r="F1034" s="27">
        <v>8.4144000000000005</v>
      </c>
      <c r="G1034" s="27">
        <v>24.875</v>
      </c>
      <c r="H1034" s="27">
        <v>1838.587</v>
      </c>
      <c r="O1034"/>
    </row>
    <row r="1035" spans="2:15">
      <c r="B1035" s="26">
        <v>15560</v>
      </c>
      <c r="C1035" s="28" t="s">
        <v>320</v>
      </c>
      <c r="D1035" s="28" t="s">
        <v>260</v>
      </c>
      <c r="E1035" s="27">
        <v>299</v>
      </c>
      <c r="F1035" s="27">
        <v>12.6427</v>
      </c>
      <c r="G1035" s="27">
        <v>37.375</v>
      </c>
      <c r="H1035" s="27">
        <v>2762.5</v>
      </c>
      <c r="O1035"/>
    </row>
    <row r="1036" spans="2:15">
      <c r="B1036" s="26">
        <v>15561</v>
      </c>
      <c r="C1036" s="28" t="s">
        <v>321</v>
      </c>
      <c r="D1036" s="28" t="s">
        <v>260</v>
      </c>
      <c r="E1036" s="27">
        <v>1599.33</v>
      </c>
      <c r="F1036" s="27">
        <v>67.625</v>
      </c>
      <c r="G1036" s="27">
        <v>213.244</v>
      </c>
      <c r="H1036" s="27">
        <v>14776.4185</v>
      </c>
      <c r="O1036"/>
    </row>
    <row r="1037" spans="2:15">
      <c r="B1037" s="26">
        <v>15562</v>
      </c>
      <c r="C1037" s="28" t="s">
        <v>322</v>
      </c>
      <c r="D1037" s="28" t="s">
        <v>260</v>
      </c>
      <c r="E1037" s="27">
        <v>82.08</v>
      </c>
      <c r="F1037" s="27">
        <v>3.4706000000000001</v>
      </c>
      <c r="G1037" s="27">
        <v>10.944000000000001</v>
      </c>
      <c r="H1037" s="27">
        <v>758.34780000000001</v>
      </c>
      <c r="O1037"/>
    </row>
    <row r="1038" spans="2:15">
      <c r="B1038" s="26">
        <v>15563</v>
      </c>
      <c r="C1038" s="28" t="s">
        <v>323</v>
      </c>
      <c r="D1038" s="28" t="s">
        <v>260</v>
      </c>
      <c r="E1038" s="27">
        <v>82.08</v>
      </c>
      <c r="F1038" s="27">
        <v>3.4706000000000001</v>
      </c>
      <c r="G1038" s="27">
        <v>10.944000000000001</v>
      </c>
      <c r="H1038" s="27">
        <v>758.34780000000001</v>
      </c>
      <c r="O1038"/>
    </row>
    <row r="1039" spans="2:15">
      <c r="B1039" s="26">
        <v>15564</v>
      </c>
      <c r="C1039" s="28" t="s">
        <v>324</v>
      </c>
      <c r="D1039" s="28" t="s">
        <v>260</v>
      </c>
      <c r="E1039" s="27">
        <v>28</v>
      </c>
      <c r="F1039" s="27">
        <v>1.1247</v>
      </c>
      <c r="G1039" s="27">
        <v>4.2</v>
      </c>
      <c r="H1039" s="27">
        <v>273.91300000000001</v>
      </c>
      <c r="O1039"/>
    </row>
    <row r="1040" spans="2:15">
      <c r="B1040" s="26">
        <v>15565</v>
      </c>
      <c r="C1040" s="28" t="s">
        <v>325</v>
      </c>
      <c r="D1040" s="28" t="s">
        <v>260</v>
      </c>
      <c r="E1040" s="27">
        <v>24</v>
      </c>
      <c r="F1040" s="27">
        <v>0.96409999999999996</v>
      </c>
      <c r="G1040" s="27">
        <v>3.6</v>
      </c>
      <c r="H1040" s="27">
        <v>234.7826</v>
      </c>
      <c r="O1040"/>
    </row>
    <row r="1041" spans="2:15">
      <c r="B1041" s="26">
        <v>15566</v>
      </c>
      <c r="C1041" s="28" t="s">
        <v>326</v>
      </c>
      <c r="D1041" s="28" t="s">
        <v>260</v>
      </c>
      <c r="E1041" s="27">
        <v>24</v>
      </c>
      <c r="F1041" s="27">
        <v>0.96409999999999996</v>
      </c>
      <c r="G1041" s="27">
        <v>3.6</v>
      </c>
      <c r="H1041" s="27">
        <v>234.7826</v>
      </c>
      <c r="O1041"/>
    </row>
    <row r="1042" spans="2:15">
      <c r="B1042" s="26">
        <v>15567</v>
      </c>
      <c r="C1042" s="28" t="s">
        <v>327</v>
      </c>
      <c r="D1042" s="28" t="s">
        <v>260</v>
      </c>
      <c r="E1042" s="27">
        <v>37</v>
      </c>
      <c r="F1042" s="27">
        <v>1.4863</v>
      </c>
      <c r="G1042" s="27">
        <v>5.55</v>
      </c>
      <c r="H1042" s="27">
        <v>361.95650000000001</v>
      </c>
      <c r="O1042"/>
    </row>
    <row r="1043" spans="2:15">
      <c r="B1043" s="26">
        <v>15568</v>
      </c>
      <c r="C1043" s="28" t="s">
        <v>328</v>
      </c>
      <c r="D1043" s="28" t="s">
        <v>260</v>
      </c>
      <c r="E1043" s="27">
        <v>168</v>
      </c>
      <c r="F1043" s="27">
        <v>6.7484000000000002</v>
      </c>
      <c r="G1043" s="27">
        <v>25.2</v>
      </c>
      <c r="H1043" s="27">
        <v>1643.4783</v>
      </c>
      <c r="O1043"/>
    </row>
    <row r="1044" spans="2:15">
      <c r="B1044" s="26">
        <v>15569</v>
      </c>
      <c r="C1044" s="28" t="s">
        <v>329</v>
      </c>
      <c r="D1044" s="28" t="s">
        <v>260</v>
      </c>
      <c r="E1044" s="27">
        <v>78</v>
      </c>
      <c r="F1044" s="27">
        <v>3.1332</v>
      </c>
      <c r="G1044" s="27">
        <v>11.7</v>
      </c>
      <c r="H1044" s="27">
        <v>763.04349999999999</v>
      </c>
      <c r="O1044"/>
    </row>
    <row r="1045" spans="2:15">
      <c r="B1045" s="26">
        <v>15570</v>
      </c>
      <c r="C1045" s="28" t="s">
        <v>330</v>
      </c>
      <c r="D1045" s="28" t="s">
        <v>260</v>
      </c>
      <c r="E1045" s="27">
        <v>58</v>
      </c>
      <c r="F1045" s="27">
        <v>2.3298000000000001</v>
      </c>
      <c r="G1045" s="27">
        <v>8.6999999999999993</v>
      </c>
      <c r="H1045" s="27">
        <v>567.3913</v>
      </c>
      <c r="O1045"/>
    </row>
    <row r="1046" spans="2:15">
      <c r="B1046" s="26">
        <v>15571</v>
      </c>
      <c r="C1046" s="28" t="s">
        <v>331</v>
      </c>
      <c r="D1046" s="28" t="s">
        <v>260</v>
      </c>
      <c r="E1046" s="27">
        <v>95</v>
      </c>
      <c r="F1046" s="27">
        <v>3.8161</v>
      </c>
      <c r="G1046" s="27">
        <v>14.25</v>
      </c>
      <c r="H1046" s="27">
        <v>929.34780000000001</v>
      </c>
      <c r="O1046"/>
    </row>
    <row r="1047" spans="2:15">
      <c r="B1047" s="26">
        <v>15572</v>
      </c>
      <c r="C1047" s="28" t="s">
        <v>332</v>
      </c>
      <c r="D1047" s="28" t="s">
        <v>260</v>
      </c>
      <c r="E1047" s="27">
        <v>138</v>
      </c>
      <c r="F1047" s="27">
        <v>5.5433000000000003</v>
      </c>
      <c r="G1047" s="27">
        <v>20.7</v>
      </c>
      <c r="H1047" s="27">
        <v>1350</v>
      </c>
      <c r="O1047"/>
    </row>
    <row r="1048" spans="2:15">
      <c r="B1048" s="26">
        <v>15573</v>
      </c>
      <c r="C1048" s="28" t="s">
        <v>333</v>
      </c>
      <c r="D1048" s="28" t="s">
        <v>260</v>
      </c>
      <c r="E1048" s="27">
        <v>113</v>
      </c>
      <c r="F1048" s="27">
        <v>4.5391000000000004</v>
      </c>
      <c r="G1048" s="27">
        <v>16.95</v>
      </c>
      <c r="H1048" s="27">
        <v>1105.4348</v>
      </c>
      <c r="O1048"/>
    </row>
    <row r="1049" spans="2:15">
      <c r="B1049" s="26">
        <v>15574</v>
      </c>
      <c r="C1049" s="28" t="s">
        <v>334</v>
      </c>
      <c r="D1049" s="28" t="s">
        <v>260</v>
      </c>
      <c r="E1049" s="27">
        <v>104</v>
      </c>
      <c r="F1049" s="27">
        <v>4.1776</v>
      </c>
      <c r="G1049" s="27">
        <v>15.6</v>
      </c>
      <c r="H1049" s="27">
        <v>1017.3913</v>
      </c>
      <c r="O1049"/>
    </row>
    <row r="1050" spans="2:15">
      <c r="B1050" s="26">
        <v>15575</v>
      </c>
      <c r="C1050" s="28" t="s">
        <v>335</v>
      </c>
      <c r="D1050" s="28" t="s">
        <v>260</v>
      </c>
      <c r="E1050" s="27">
        <v>87</v>
      </c>
      <c r="F1050" s="27">
        <v>3.4946999999999999</v>
      </c>
      <c r="G1050" s="27">
        <v>13.05</v>
      </c>
      <c r="H1050" s="27">
        <v>851.08699999999999</v>
      </c>
      <c r="O1050"/>
    </row>
    <row r="1051" spans="2:15">
      <c r="B1051" s="26">
        <v>15576</v>
      </c>
      <c r="C1051" s="28" t="s">
        <v>336</v>
      </c>
      <c r="D1051" s="28" t="s">
        <v>260</v>
      </c>
      <c r="E1051" s="27">
        <v>87</v>
      </c>
      <c r="F1051" s="27">
        <v>3.4946999999999999</v>
      </c>
      <c r="G1051" s="27">
        <v>13.05</v>
      </c>
      <c r="H1051" s="27">
        <v>851.08699999999999</v>
      </c>
      <c r="O1051"/>
    </row>
    <row r="1052" spans="2:15">
      <c r="B1052" s="26">
        <v>15577</v>
      </c>
      <c r="C1052" s="28" t="s">
        <v>337</v>
      </c>
      <c r="D1052" s="28" t="s">
        <v>338</v>
      </c>
      <c r="E1052" s="27">
        <v>386</v>
      </c>
      <c r="F1052" s="27">
        <v>15.5053</v>
      </c>
      <c r="G1052" s="27">
        <v>57.9</v>
      </c>
      <c r="H1052" s="27">
        <v>3776.087</v>
      </c>
      <c r="O1052"/>
    </row>
    <row r="1053" spans="2:15">
      <c r="B1053" s="26">
        <v>15578</v>
      </c>
      <c r="C1053" s="28" t="s">
        <v>339</v>
      </c>
      <c r="D1053" s="28" t="s">
        <v>260</v>
      </c>
      <c r="E1053" s="27">
        <v>4.1173999999999999</v>
      </c>
      <c r="F1053" s="27">
        <v>0.16539999999999999</v>
      </c>
      <c r="G1053" s="27">
        <v>0.61760000000000004</v>
      </c>
      <c r="H1053" s="27">
        <v>40.2789</v>
      </c>
      <c r="O1053"/>
    </row>
    <row r="1054" spans="2:15">
      <c r="B1054" s="26">
        <v>15579</v>
      </c>
      <c r="C1054" s="28" t="s">
        <v>340</v>
      </c>
      <c r="D1054" s="28" t="s">
        <v>260</v>
      </c>
      <c r="E1054" s="27">
        <v>47.6</v>
      </c>
      <c r="F1054" s="27">
        <v>1.9120999999999999</v>
      </c>
      <c r="G1054" s="27">
        <v>7.14</v>
      </c>
      <c r="H1054" s="27">
        <v>465.65219999999999</v>
      </c>
      <c r="O1054"/>
    </row>
    <row r="1055" spans="2:15">
      <c r="B1055" s="26">
        <v>15580</v>
      </c>
      <c r="C1055" s="28" t="s">
        <v>341</v>
      </c>
      <c r="D1055" s="28" t="s">
        <v>260</v>
      </c>
      <c r="E1055" s="27">
        <v>50</v>
      </c>
      <c r="F1055" s="27">
        <v>2.1141999999999999</v>
      </c>
      <c r="G1055" s="27">
        <v>6.25</v>
      </c>
      <c r="H1055" s="27">
        <v>461.95650000000001</v>
      </c>
      <c r="O1055"/>
    </row>
    <row r="1056" spans="2:15">
      <c r="B1056" s="26">
        <v>15581</v>
      </c>
      <c r="C1056" s="28" t="s">
        <v>342</v>
      </c>
      <c r="D1056" s="28" t="s">
        <v>260</v>
      </c>
      <c r="E1056" s="27">
        <v>50</v>
      </c>
      <c r="F1056" s="27">
        <v>2.1141999999999999</v>
      </c>
      <c r="G1056" s="27">
        <v>6.25</v>
      </c>
      <c r="H1056" s="27">
        <v>461.95650000000001</v>
      </c>
      <c r="O1056"/>
    </row>
    <row r="1057" spans="2:15">
      <c r="B1057" s="26">
        <v>15582</v>
      </c>
      <c r="C1057" s="28" t="s">
        <v>343</v>
      </c>
      <c r="D1057" s="28" t="s">
        <v>260</v>
      </c>
      <c r="E1057" s="27">
        <v>50</v>
      </c>
      <c r="F1057" s="27">
        <v>2.1141999999999999</v>
      </c>
      <c r="G1057" s="27">
        <v>6.25</v>
      </c>
      <c r="H1057" s="27">
        <v>461.95650000000001</v>
      </c>
      <c r="O1057"/>
    </row>
    <row r="1058" spans="2:15">
      <c r="B1058" s="26">
        <v>15583</v>
      </c>
      <c r="C1058" s="28" t="s">
        <v>344</v>
      </c>
      <c r="D1058" s="28" t="s">
        <v>260</v>
      </c>
      <c r="E1058" s="27">
        <v>50</v>
      </c>
      <c r="F1058" s="27">
        <v>2.1141999999999999</v>
      </c>
      <c r="G1058" s="27">
        <v>6.25</v>
      </c>
      <c r="H1058" s="27">
        <v>461.95650000000001</v>
      </c>
      <c r="O1058"/>
    </row>
    <row r="1059" spans="2:15">
      <c r="B1059" s="26">
        <v>15584</v>
      </c>
      <c r="C1059" s="28" t="s">
        <v>345</v>
      </c>
      <c r="D1059" s="28" t="s">
        <v>260</v>
      </c>
      <c r="E1059" s="27">
        <v>50</v>
      </c>
      <c r="F1059" s="27">
        <v>2.1141999999999999</v>
      </c>
      <c r="G1059" s="27">
        <v>6.25</v>
      </c>
      <c r="H1059" s="27">
        <v>461.95650000000001</v>
      </c>
      <c r="O1059"/>
    </row>
    <row r="1060" spans="2:15">
      <c r="B1060" s="26">
        <v>15585</v>
      </c>
      <c r="C1060" s="28" t="s">
        <v>346</v>
      </c>
      <c r="D1060" s="28" t="s">
        <v>347</v>
      </c>
      <c r="E1060" s="27">
        <v>3.1249699999999998</v>
      </c>
      <c r="F1060" s="27">
        <v>0.1321</v>
      </c>
      <c r="G1060" s="27">
        <v>0.3906</v>
      </c>
      <c r="H1060" s="27">
        <v>28.872</v>
      </c>
      <c r="O1060"/>
    </row>
    <row r="1061" spans="2:15">
      <c r="B1061" s="26">
        <v>15586</v>
      </c>
      <c r="C1061" s="28" t="s">
        <v>348</v>
      </c>
      <c r="D1061" s="28" t="s">
        <v>260</v>
      </c>
      <c r="E1061" s="27">
        <v>3.4</v>
      </c>
      <c r="F1061" s="27">
        <v>0.14380000000000001</v>
      </c>
      <c r="G1061" s="27">
        <v>0.42499999999999999</v>
      </c>
      <c r="H1061" s="27">
        <v>31.413</v>
      </c>
      <c r="O1061"/>
    </row>
    <row r="1062" spans="2:15">
      <c r="B1062" s="26">
        <v>15588</v>
      </c>
      <c r="C1062" s="28" t="s">
        <v>349</v>
      </c>
      <c r="D1062" s="28" t="s">
        <v>260</v>
      </c>
      <c r="E1062" s="27">
        <v>259.11144000000002</v>
      </c>
      <c r="F1062" s="27">
        <v>10.956099999999999</v>
      </c>
      <c r="G1062" s="27">
        <v>32.3889</v>
      </c>
      <c r="H1062" s="27">
        <v>2393.9643999999998</v>
      </c>
      <c r="O1062"/>
    </row>
    <row r="1063" spans="2:15">
      <c r="B1063" s="26">
        <v>15589</v>
      </c>
      <c r="C1063" s="28" t="s">
        <v>350</v>
      </c>
      <c r="D1063" s="28" t="s">
        <v>260</v>
      </c>
      <c r="E1063" s="27">
        <v>314.29257999999999</v>
      </c>
      <c r="F1063" s="27">
        <v>13.289300000000001</v>
      </c>
      <c r="G1063" s="27">
        <v>39.2866</v>
      </c>
      <c r="H1063" s="27">
        <v>2903.7901000000002</v>
      </c>
      <c r="O1063"/>
    </row>
    <row r="1064" spans="2:15">
      <c r="B1064" s="26">
        <v>15590</v>
      </c>
      <c r="C1064" s="28" t="s">
        <v>351</v>
      </c>
      <c r="D1064" s="28" t="s">
        <v>260</v>
      </c>
      <c r="E1064" s="27">
        <v>299.89999999999998</v>
      </c>
      <c r="F1064" s="27">
        <v>12.6808</v>
      </c>
      <c r="G1064" s="27">
        <v>37.487499999999997</v>
      </c>
      <c r="H1064" s="27">
        <v>2770.8152</v>
      </c>
      <c r="O1064"/>
    </row>
    <row r="1065" spans="2:15">
      <c r="B1065" s="26">
        <v>15591</v>
      </c>
      <c r="C1065" s="28" t="s">
        <v>352</v>
      </c>
      <c r="D1065" s="28" t="s">
        <v>260</v>
      </c>
      <c r="E1065" s="27">
        <v>299.89999999999998</v>
      </c>
      <c r="F1065" s="27">
        <v>12.6808</v>
      </c>
      <c r="G1065" s="27">
        <v>37.487499999999997</v>
      </c>
      <c r="H1065" s="27">
        <v>2770.8152</v>
      </c>
      <c r="O1065"/>
    </row>
    <row r="1066" spans="2:15">
      <c r="B1066" s="26">
        <v>15592</v>
      </c>
      <c r="C1066" s="28" t="s">
        <v>353</v>
      </c>
      <c r="D1066" s="28" t="s">
        <v>260</v>
      </c>
      <c r="E1066" s="27">
        <v>299.89999999999998</v>
      </c>
      <c r="F1066" s="27">
        <v>12.6808</v>
      </c>
      <c r="G1066" s="27">
        <v>37.487499999999997</v>
      </c>
      <c r="H1066" s="27">
        <v>2770.8152</v>
      </c>
      <c r="O1066"/>
    </row>
    <row r="1067" spans="2:15">
      <c r="B1067" s="26">
        <v>15593</v>
      </c>
      <c r="C1067" s="28" t="s">
        <v>354</v>
      </c>
      <c r="D1067" s="28" t="s">
        <v>260</v>
      </c>
      <c r="E1067" s="27">
        <v>299.89999999999998</v>
      </c>
      <c r="F1067" s="27">
        <v>12.6808</v>
      </c>
      <c r="G1067" s="27">
        <v>37.487499999999997</v>
      </c>
      <c r="H1067" s="27">
        <v>2770.8152</v>
      </c>
      <c r="O1067"/>
    </row>
    <row r="1068" spans="2:15">
      <c r="B1068" s="26">
        <v>15594</v>
      </c>
      <c r="C1068" s="28" t="s">
        <v>355</v>
      </c>
      <c r="D1068" s="28" t="s">
        <v>260</v>
      </c>
      <c r="E1068" s="27">
        <v>299.89999999999998</v>
      </c>
      <c r="F1068" s="27">
        <v>12.6808</v>
      </c>
      <c r="G1068" s="27">
        <v>37.487499999999997</v>
      </c>
      <c r="H1068" s="27">
        <v>2770.8152</v>
      </c>
      <c r="O1068"/>
    </row>
    <row r="1069" spans="2:15">
      <c r="B1069" s="26">
        <v>15595</v>
      </c>
      <c r="C1069" s="28" t="s">
        <v>356</v>
      </c>
      <c r="D1069" s="28" t="s">
        <v>260</v>
      </c>
      <c r="E1069" s="27">
        <v>13.4</v>
      </c>
      <c r="F1069" s="27">
        <v>0.56659999999999999</v>
      </c>
      <c r="G1069" s="27">
        <v>1.675</v>
      </c>
      <c r="H1069" s="27">
        <v>123.8044</v>
      </c>
      <c r="O1069"/>
    </row>
    <row r="1070" spans="2:15">
      <c r="B1070" s="26">
        <v>15596</v>
      </c>
      <c r="C1070" s="28" t="s">
        <v>357</v>
      </c>
      <c r="D1070" s="28" t="s">
        <v>260</v>
      </c>
      <c r="E1070" s="27">
        <v>11.9</v>
      </c>
      <c r="F1070" s="27">
        <v>0.50319999999999998</v>
      </c>
      <c r="G1070" s="27">
        <v>1.4875</v>
      </c>
      <c r="H1070" s="27">
        <v>109.9457</v>
      </c>
      <c r="O1070"/>
    </row>
    <row r="1071" spans="2:15">
      <c r="B1071" s="26">
        <v>15597</v>
      </c>
      <c r="C1071" s="28" t="s">
        <v>358</v>
      </c>
      <c r="D1071" s="28" t="s">
        <v>260</v>
      </c>
      <c r="E1071" s="27">
        <v>11.423999999999999</v>
      </c>
      <c r="F1071" s="27">
        <v>0.48299999999999998</v>
      </c>
      <c r="G1071" s="27">
        <v>1.4279999999999999</v>
      </c>
      <c r="H1071" s="27">
        <v>105.5478</v>
      </c>
      <c r="O1071"/>
    </row>
    <row r="1072" spans="2:15">
      <c r="B1072" s="26">
        <v>15598</v>
      </c>
      <c r="C1072" s="28" t="s">
        <v>359</v>
      </c>
      <c r="D1072" s="28" t="s">
        <v>260</v>
      </c>
      <c r="E1072" s="27">
        <v>0.52359999999999995</v>
      </c>
      <c r="F1072" s="27">
        <v>2.2100000000000002E-2</v>
      </c>
      <c r="G1072" s="27">
        <v>6.5500000000000003E-2</v>
      </c>
      <c r="H1072" s="27">
        <v>4.8376000000000001</v>
      </c>
      <c r="O1072"/>
    </row>
    <row r="1073" spans="2:15">
      <c r="B1073" s="26">
        <v>15599</v>
      </c>
      <c r="C1073" s="28" t="s">
        <v>360</v>
      </c>
      <c r="D1073" s="28" t="s">
        <v>260</v>
      </c>
      <c r="E1073" s="27">
        <v>0.80920000000000003</v>
      </c>
      <c r="F1073" s="27">
        <v>3.4200000000000001E-2</v>
      </c>
      <c r="G1073" s="27">
        <v>0.1012</v>
      </c>
      <c r="H1073" s="27">
        <v>7.4763000000000002</v>
      </c>
      <c r="O1073"/>
    </row>
  </sheetData>
  <sheetProtection password="993C" sheet="1" objects="1" scenarios="1"/>
  <mergeCells count="340">
    <mergeCell ref="C4:D4"/>
    <mergeCell ref="E4:F4"/>
    <mergeCell ref="G4:H4"/>
    <mergeCell ref="I4:J4"/>
    <mergeCell ref="K4:L4"/>
    <mergeCell ref="C51:D51"/>
    <mergeCell ref="E51:F51"/>
    <mergeCell ref="G51:H51"/>
    <mergeCell ref="I51:J51"/>
    <mergeCell ref="K51:L51"/>
    <mergeCell ref="C52:D52"/>
    <mergeCell ref="E52:F52"/>
    <mergeCell ref="G52:H52"/>
    <mergeCell ref="I52:J52"/>
    <mergeCell ref="K52:L52"/>
    <mergeCell ref="C53:D53"/>
    <mergeCell ref="E53:F53"/>
    <mergeCell ref="G53:H53"/>
    <mergeCell ref="I53:J53"/>
    <mergeCell ref="K53:L53"/>
    <mergeCell ref="C54:D54"/>
    <mergeCell ref="E54:F54"/>
    <mergeCell ref="G54:H54"/>
    <mergeCell ref="I54:J54"/>
    <mergeCell ref="K54:L54"/>
    <mergeCell ref="C55:D55"/>
    <mergeCell ref="E55:F55"/>
    <mergeCell ref="G55:H55"/>
    <mergeCell ref="I55:J55"/>
    <mergeCell ref="K55:L55"/>
    <mergeCell ref="C56:D56"/>
    <mergeCell ref="E56:F56"/>
    <mergeCell ref="G56:H56"/>
    <mergeCell ref="I56:J56"/>
    <mergeCell ref="K56:L56"/>
    <mergeCell ref="C57:D57"/>
    <mergeCell ref="E57:F57"/>
    <mergeCell ref="G57:H57"/>
    <mergeCell ref="I57:J57"/>
    <mergeCell ref="K57:L57"/>
    <mergeCell ref="C58:D58"/>
    <mergeCell ref="E58:F58"/>
    <mergeCell ref="G58:H58"/>
    <mergeCell ref="I58:J58"/>
    <mergeCell ref="K58:L58"/>
    <mergeCell ref="C59:D59"/>
    <mergeCell ref="E59:F59"/>
    <mergeCell ref="G59:H59"/>
    <mergeCell ref="I59:J59"/>
    <mergeCell ref="K59:L59"/>
    <mergeCell ref="C60:D60"/>
    <mergeCell ref="E60:F60"/>
    <mergeCell ref="G60:H60"/>
    <mergeCell ref="I60:J60"/>
    <mergeCell ref="K60:L60"/>
    <mergeCell ref="C61:D61"/>
    <mergeCell ref="E61:F61"/>
    <mergeCell ref="G61:H61"/>
    <mergeCell ref="I61:J61"/>
    <mergeCell ref="K61:L61"/>
    <mergeCell ref="C62:D62"/>
    <mergeCell ref="E62:F62"/>
    <mergeCell ref="G62:H62"/>
    <mergeCell ref="I62:J62"/>
    <mergeCell ref="K62:L62"/>
    <mergeCell ref="C63:D63"/>
    <mergeCell ref="E63:F63"/>
    <mergeCell ref="G63:H63"/>
    <mergeCell ref="I63:J63"/>
    <mergeCell ref="K63:L63"/>
    <mergeCell ref="C64:D64"/>
    <mergeCell ref="E64:F64"/>
    <mergeCell ref="G64:H64"/>
    <mergeCell ref="I64:J64"/>
    <mergeCell ref="K64:L64"/>
    <mergeCell ref="C65:D65"/>
    <mergeCell ref="E65:F65"/>
    <mergeCell ref="G65:H65"/>
    <mergeCell ref="I65:J65"/>
    <mergeCell ref="K65:L65"/>
    <mergeCell ref="C66:D66"/>
    <mergeCell ref="E66:F66"/>
    <mergeCell ref="G66:H66"/>
    <mergeCell ref="I66:J66"/>
    <mergeCell ref="K66:L66"/>
    <mergeCell ref="C67:D67"/>
    <mergeCell ref="E67:F67"/>
    <mergeCell ref="G67:H67"/>
    <mergeCell ref="I67:J67"/>
    <mergeCell ref="K67:L67"/>
    <mergeCell ref="C68:D68"/>
    <mergeCell ref="E68:F68"/>
    <mergeCell ref="G68:H68"/>
    <mergeCell ref="I68:J68"/>
    <mergeCell ref="K68:L68"/>
    <mergeCell ref="C69:D69"/>
    <mergeCell ref="E69:F69"/>
    <mergeCell ref="G69:H69"/>
    <mergeCell ref="I69:J69"/>
    <mergeCell ref="K69:L69"/>
    <mergeCell ref="C70:D70"/>
    <mergeCell ref="E70:F70"/>
    <mergeCell ref="G70:H70"/>
    <mergeCell ref="I70:J70"/>
    <mergeCell ref="K70:L70"/>
    <mergeCell ref="C71:D71"/>
    <mergeCell ref="E71:F71"/>
    <mergeCell ref="G71:H71"/>
    <mergeCell ref="I71:J71"/>
    <mergeCell ref="K71:L71"/>
    <mergeCell ref="C72:D72"/>
    <mergeCell ref="E72:F72"/>
    <mergeCell ref="G72:H72"/>
    <mergeCell ref="I72:J72"/>
    <mergeCell ref="K72:L72"/>
    <mergeCell ref="C73:D73"/>
    <mergeCell ref="E73:F73"/>
    <mergeCell ref="G73:H73"/>
    <mergeCell ref="I73:J73"/>
    <mergeCell ref="K73:L73"/>
    <mergeCell ref="C74:D74"/>
    <mergeCell ref="E74:F74"/>
    <mergeCell ref="G74:H74"/>
    <mergeCell ref="I74:J74"/>
    <mergeCell ref="K74:L74"/>
    <mergeCell ref="C75:D75"/>
    <mergeCell ref="E75:F75"/>
    <mergeCell ref="G75:H75"/>
    <mergeCell ref="I75:J75"/>
    <mergeCell ref="K75:L75"/>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9:D79"/>
    <mergeCell ref="E79:F79"/>
    <mergeCell ref="G79:H79"/>
    <mergeCell ref="I79:J79"/>
    <mergeCell ref="K79:L79"/>
    <mergeCell ref="C80:D80"/>
    <mergeCell ref="E80:F80"/>
    <mergeCell ref="G80:H80"/>
    <mergeCell ref="I80:J80"/>
    <mergeCell ref="K80:L80"/>
    <mergeCell ref="C81:D81"/>
    <mergeCell ref="E81:F81"/>
    <mergeCell ref="G81:H81"/>
    <mergeCell ref="I81:J81"/>
    <mergeCell ref="K81:L81"/>
    <mergeCell ref="C82:D82"/>
    <mergeCell ref="E82:F82"/>
    <mergeCell ref="G82:H82"/>
    <mergeCell ref="I82:J82"/>
    <mergeCell ref="K82:L82"/>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K85:L85"/>
    <mergeCell ref="C86:D86"/>
    <mergeCell ref="E86:F86"/>
    <mergeCell ref="G86:H86"/>
    <mergeCell ref="I86:J86"/>
    <mergeCell ref="K86:L86"/>
    <mergeCell ref="C87:D87"/>
    <mergeCell ref="E87:F87"/>
    <mergeCell ref="G87:H87"/>
    <mergeCell ref="I87:J87"/>
    <mergeCell ref="K87:L87"/>
    <mergeCell ref="C88:D88"/>
    <mergeCell ref="E88:F88"/>
    <mergeCell ref="G88:H88"/>
    <mergeCell ref="I88:J88"/>
    <mergeCell ref="K88:L88"/>
    <mergeCell ref="C89:D89"/>
    <mergeCell ref="E89:F89"/>
    <mergeCell ref="G89:H89"/>
    <mergeCell ref="I89:J89"/>
    <mergeCell ref="K89:L89"/>
    <mergeCell ref="C90:D90"/>
    <mergeCell ref="E90:F90"/>
    <mergeCell ref="G90:H90"/>
    <mergeCell ref="I90:J90"/>
    <mergeCell ref="K90:L90"/>
    <mergeCell ref="C91:D91"/>
    <mergeCell ref="E91:F91"/>
    <mergeCell ref="G91:H91"/>
    <mergeCell ref="I91:J91"/>
    <mergeCell ref="K91:L91"/>
    <mergeCell ref="C92:D92"/>
    <mergeCell ref="E92:F92"/>
    <mergeCell ref="G92:H92"/>
    <mergeCell ref="I92:J92"/>
    <mergeCell ref="K92:L92"/>
    <mergeCell ref="C93:D93"/>
    <mergeCell ref="E93:F93"/>
    <mergeCell ref="G93:H93"/>
    <mergeCell ref="I93:J93"/>
    <mergeCell ref="K93:L93"/>
    <mergeCell ref="C94:D94"/>
    <mergeCell ref="E94:F94"/>
    <mergeCell ref="G94:H94"/>
    <mergeCell ref="I94:J94"/>
    <mergeCell ref="K94:L94"/>
    <mergeCell ref="C95:D95"/>
    <mergeCell ref="E95:F95"/>
    <mergeCell ref="G95:H95"/>
    <mergeCell ref="I95:J95"/>
    <mergeCell ref="K95:L95"/>
    <mergeCell ref="C96:D96"/>
    <mergeCell ref="E96:F96"/>
    <mergeCell ref="G96:H96"/>
    <mergeCell ref="I96:J96"/>
    <mergeCell ref="K96:L96"/>
    <mergeCell ref="C97:D97"/>
    <mergeCell ref="E97:F97"/>
    <mergeCell ref="G97:H97"/>
    <mergeCell ref="I97:J97"/>
    <mergeCell ref="K97:L97"/>
    <mergeCell ref="C98:D98"/>
    <mergeCell ref="E98:F98"/>
    <mergeCell ref="G98:H98"/>
    <mergeCell ref="I98:J98"/>
    <mergeCell ref="K98:L98"/>
    <mergeCell ref="C99:D99"/>
    <mergeCell ref="E99:F99"/>
    <mergeCell ref="G99:H99"/>
    <mergeCell ref="I99:J99"/>
    <mergeCell ref="K99:L99"/>
    <mergeCell ref="C100:D100"/>
    <mergeCell ref="E100:F100"/>
    <mergeCell ref="G100:H100"/>
    <mergeCell ref="I100:J100"/>
    <mergeCell ref="K100:L100"/>
    <mergeCell ref="C101:D101"/>
    <mergeCell ref="E101:F101"/>
    <mergeCell ref="G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5:D105"/>
    <mergeCell ref="E105:F105"/>
    <mergeCell ref="G105:H105"/>
    <mergeCell ref="I105:J105"/>
    <mergeCell ref="K105:L105"/>
    <mergeCell ref="C106:D106"/>
    <mergeCell ref="E106:F106"/>
    <mergeCell ref="G106:H106"/>
    <mergeCell ref="I106:J106"/>
    <mergeCell ref="K106:L106"/>
    <mergeCell ref="C107:D107"/>
    <mergeCell ref="E107:F107"/>
    <mergeCell ref="G107:H107"/>
    <mergeCell ref="I107:J107"/>
    <mergeCell ref="K107:L107"/>
    <mergeCell ref="C108:D108"/>
    <mergeCell ref="E108:F108"/>
    <mergeCell ref="G108:H108"/>
    <mergeCell ref="I108:J108"/>
    <mergeCell ref="K108:L108"/>
    <mergeCell ref="C109:D109"/>
    <mergeCell ref="E109:F109"/>
    <mergeCell ref="G109:H109"/>
    <mergeCell ref="I109:J109"/>
    <mergeCell ref="K109:L109"/>
    <mergeCell ref="C110:D110"/>
    <mergeCell ref="E110:F110"/>
    <mergeCell ref="G110:H110"/>
    <mergeCell ref="I110:J110"/>
    <mergeCell ref="K110:L110"/>
    <mergeCell ref="C111:D111"/>
    <mergeCell ref="E111:F111"/>
    <mergeCell ref="G111:H111"/>
    <mergeCell ref="I111:J111"/>
    <mergeCell ref="K111:L111"/>
    <mergeCell ref="C112:D112"/>
    <mergeCell ref="E112:F112"/>
    <mergeCell ref="G112:H112"/>
    <mergeCell ref="I112:J112"/>
    <mergeCell ref="K112:L112"/>
    <mergeCell ref="C118:D118"/>
    <mergeCell ref="E118:F118"/>
    <mergeCell ref="G118:H118"/>
    <mergeCell ref="I118:J118"/>
    <mergeCell ref="K118:L118"/>
    <mergeCell ref="C121:D121"/>
    <mergeCell ref="E121:F121"/>
    <mergeCell ref="G121:H121"/>
    <mergeCell ref="I121:J121"/>
    <mergeCell ref="K121:L121"/>
    <mergeCell ref="C122:D122"/>
    <mergeCell ref="E122:F122"/>
    <mergeCell ref="G122:H122"/>
    <mergeCell ref="I122:J122"/>
    <mergeCell ref="K122:L122"/>
    <mergeCell ref="C123:D123"/>
    <mergeCell ref="E123:F123"/>
    <mergeCell ref="G123:H123"/>
    <mergeCell ref="I123:J123"/>
    <mergeCell ref="K123:L123"/>
    <mergeCell ref="C124:D124"/>
    <mergeCell ref="E124:F124"/>
    <mergeCell ref="G124:H124"/>
    <mergeCell ref="I124:J124"/>
    <mergeCell ref="K124:L124"/>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dimension ref="A1:AE381"/>
  <sheetViews>
    <sheetView topLeftCell="B1" workbookViewId="0">
      <selection activeCell="G35" sqref="G35:G39"/>
    </sheetView>
  </sheetViews>
  <sheetFormatPr defaultColWidth="15.5703125" defaultRowHeight="16.350000000000001" customHeight="1"/>
  <cols>
    <col min="1" max="2" width="31.5703125" style="318" bestFit="1" customWidth="1"/>
    <col min="3" max="3" width="14" style="318" bestFit="1" customWidth="1"/>
    <col min="4" max="4" width="43.42578125" style="318" customWidth="1"/>
    <col min="5" max="5" width="29.5703125" style="318" bestFit="1" customWidth="1"/>
    <col min="6" max="6" width="11.5703125" style="318" bestFit="1" customWidth="1"/>
    <col min="7" max="7" width="54.42578125" style="318" bestFit="1" customWidth="1"/>
    <col min="8" max="23" width="22.5703125" style="319" customWidth="1"/>
    <col min="27" max="28" width="15.5703125" style="318"/>
    <col min="29" max="29" width="21.5703125" style="318" bestFit="1" customWidth="1"/>
    <col min="30" max="30" width="5.5703125" style="318" customWidth="1"/>
    <col min="31" max="31" width="36.140625" style="318" customWidth="1"/>
    <col min="32" max="16384" width="15.5703125" style="318"/>
  </cols>
  <sheetData>
    <row r="1" spans="1:31" s="316" customFormat="1" ht="16.350000000000001" customHeight="1">
      <c r="A1" s="316" t="s">
        <v>2160</v>
      </c>
      <c r="B1" s="316" t="s">
        <v>2161</v>
      </c>
      <c r="C1" s="316" t="s">
        <v>2162</v>
      </c>
      <c r="E1" s="316" t="s">
        <v>2163</v>
      </c>
      <c r="F1" s="316" t="s">
        <v>385</v>
      </c>
      <c r="G1" s="316" t="s">
        <v>2175</v>
      </c>
      <c r="H1" s="317" t="s">
        <v>2164</v>
      </c>
      <c r="I1" s="317" t="s">
        <v>2165</v>
      </c>
      <c r="J1" s="317" t="s">
        <v>2166</v>
      </c>
      <c r="K1" s="317" t="str">
        <f>'Translate&amp;Prices&amp;Logo'!$B$628</f>
        <v>křížová vrut</v>
      </c>
      <c r="L1" s="317">
        <v>6</v>
      </c>
      <c r="M1" s="317" t="str">
        <f>'Translate&amp;Prices&amp;Logo'!$B$629</f>
        <v>křížová vrut (excentr)</v>
      </c>
      <c r="N1" s="317">
        <v>8</v>
      </c>
      <c r="O1" s="317" t="str">
        <f>'Translate&amp;Prices&amp;Logo'!$B$630</f>
        <v>křížová euro</v>
      </c>
      <c r="P1" s="317">
        <v>10</v>
      </c>
      <c r="Q1" s="317" t="str">
        <f>'Translate&amp;Prices&amp;Logo'!$B$631</f>
        <v>křížová hmoždinka</v>
      </c>
      <c r="R1" s="317">
        <v>12</v>
      </c>
      <c r="S1" s="317" t="str">
        <f>'Translate&amp;Prices&amp;Logo'!$B$632</f>
        <v>přímá vrut</v>
      </c>
      <c r="T1" s="317">
        <v>14</v>
      </c>
      <c r="U1" s="317" t="str">
        <f>'Translate&amp;Prices&amp;Logo'!$B$633</f>
        <v>přímá euro</v>
      </c>
      <c r="V1" s="317">
        <v>16</v>
      </c>
      <c r="W1" s="317" t="str">
        <f>'Translate&amp;Prices&amp;Logo'!$B$634</f>
        <v>přímá hmoždinka</v>
      </c>
      <c r="X1" s="316">
        <v>18</v>
      </c>
      <c r="AC1" s="317" t="str">
        <f>$K$1</f>
        <v>křížová vrut</v>
      </c>
      <c r="AD1" s="471">
        <v>6</v>
      </c>
      <c r="AE1" s="316" t="e">
        <f>VLOOKUP(Ram_1!$H$15,$G:$X,AD1,0)</f>
        <v>#N/A</v>
      </c>
    </row>
    <row r="2" spans="1:31" ht="16.350000000000001" customHeight="1">
      <c r="A2" s="323" t="s">
        <v>2167</v>
      </c>
      <c r="B2" s="323" t="s">
        <v>14</v>
      </c>
      <c r="C2" s="323" t="str">
        <f>'Translate&amp;Prices&amp;Logo'!B553</f>
        <v>Naložený</v>
      </c>
      <c r="D2" s="316" t="str">
        <f>VLOOKUP(CONCATENATE(A2,"_",B2,"_",C2),$A$67:$B$381,2,0)</f>
        <v>úzký_BLUM_Naložený</v>
      </c>
      <c r="E2" s="323" t="str">
        <f>'Translate&amp;Prices&amp;Logo'!$B$582</f>
        <v>s pružinou a tlumením</v>
      </c>
      <c r="F2" s="318" t="str">
        <f>'Translate&amp;Prices&amp;Logo'!$B$585</f>
        <v>stříbrná</v>
      </c>
      <c r="G2" s="318" t="str">
        <f>CONCATENATE(H2," ","-"," ",C2," ",E2," - ",F2)</f>
        <v>118033 - Naložený s pružinou a tlumením - stříbrná</v>
      </c>
      <c r="H2" s="319">
        <v>118033</v>
      </c>
      <c r="I2" s="319" t="s">
        <v>2169</v>
      </c>
      <c r="J2" s="319" t="s">
        <v>2169</v>
      </c>
      <c r="K2" s="319">
        <v>12306</v>
      </c>
      <c r="L2" s="319" t="str">
        <f>CONCATENATE($K$1," - ",K2)</f>
        <v>křížová vrut - 12306</v>
      </c>
      <c r="M2" s="319" t="s">
        <v>3382</v>
      </c>
      <c r="N2" s="319" t="str">
        <f>CONCATENATE($M$1," - ",M2)</f>
        <v>křížová vrut (excentr) - N/A</v>
      </c>
      <c r="O2" s="319">
        <v>12318</v>
      </c>
      <c r="P2" s="319" t="str">
        <f>CONCATENATE($O$1," - ",O2)</f>
        <v>křížová euro - 12318</v>
      </c>
      <c r="Q2" s="319">
        <v>12302</v>
      </c>
      <c r="R2" s="319" t="str">
        <f>CONCATENATE($Q$1," - ",Q2)</f>
        <v>křížová hmoždinka - 12302</v>
      </c>
      <c r="S2" s="319">
        <v>203387</v>
      </c>
      <c r="T2" s="319" t="str">
        <f>CONCATENATE($S$1," - ",S2)</f>
        <v>přímá vrut - 203387</v>
      </c>
      <c r="U2" s="319">
        <v>346624</v>
      </c>
      <c r="V2" s="319" t="str">
        <f>CONCATENATE($U$1," - ",U2)</f>
        <v>přímá euro - 346624</v>
      </c>
      <c r="W2" s="319">
        <v>211476</v>
      </c>
      <c r="X2" s="319" t="str">
        <f>CONCATENATE($W$1," - ",W2)</f>
        <v>přímá hmoždinka - 211476</v>
      </c>
      <c r="Y2" s="318"/>
      <c r="Z2" s="318"/>
      <c r="AC2" s="317" t="str">
        <f>$M$1</f>
        <v>křížová vrut (excentr)</v>
      </c>
      <c r="AD2" s="318">
        <v>8</v>
      </c>
      <c r="AE2" s="316" t="e">
        <f>VLOOKUP(Ram_1!$H$15,$G:$X,AD2,0)</f>
        <v>#N/A</v>
      </c>
    </row>
    <row r="3" spans="1:31" ht="16.350000000000001" customHeight="1">
      <c r="A3" s="323" t="s">
        <v>2167</v>
      </c>
      <c r="B3" s="323" t="s">
        <v>14</v>
      </c>
      <c r="C3" s="323" t="str">
        <f>'Translate&amp;Prices&amp;Logo'!B553</f>
        <v>Naložený</v>
      </c>
      <c r="D3" s="316" t="str">
        <f t="shared" ref="D3:D64" si="0">VLOOKUP(CONCATENATE(A3,"_",B3,"_",C3),$A$67:$B$381,2,0)</f>
        <v>úzký_BLUM_Naložený</v>
      </c>
      <c r="E3" s="323" t="str">
        <f>'Translate&amp;Prices&amp;Logo'!$B$583</f>
        <v>s pružinou bez tlumení</v>
      </c>
      <c r="F3" s="318" t="str">
        <f>'Translate&amp;Prices&amp;Logo'!$B$585</f>
        <v>stříbrná</v>
      </c>
      <c r="G3" s="318" t="str">
        <f t="shared" ref="G3:G19" si="1">CONCATENATE(H3," ","-"," ",C3," ",E3," - ",F3)</f>
        <v>12106 - Naložený s pružinou bez tlumení - stříbrná</v>
      </c>
      <c r="H3" s="319">
        <v>12106</v>
      </c>
      <c r="I3" s="319" t="s">
        <v>2169</v>
      </c>
      <c r="J3" s="319" t="s">
        <v>2169</v>
      </c>
      <c r="K3" s="319">
        <v>12306</v>
      </c>
      <c r="L3" s="319" t="str">
        <f t="shared" ref="L3:L64" si="2">CONCATENATE($K$1," - ",K3)</f>
        <v>křížová vrut - 12306</v>
      </c>
      <c r="M3" s="319" t="s">
        <v>3382</v>
      </c>
      <c r="N3" s="319" t="str">
        <f t="shared" ref="N3:N64" si="3">CONCATENATE($M$1," - ",M3)</f>
        <v>křížová vrut (excentr) - N/A</v>
      </c>
      <c r="O3" s="319">
        <v>12318</v>
      </c>
      <c r="P3" s="319" t="str">
        <f t="shared" ref="P3:P64" si="4">CONCATENATE($O$1," - ",O3)</f>
        <v>křížová euro - 12318</v>
      </c>
      <c r="Q3" s="319">
        <v>12302</v>
      </c>
      <c r="R3" s="319" t="str">
        <f t="shared" ref="R3:R64" si="5">CONCATENATE($Q$1," - ",Q3)</f>
        <v>křížová hmoždinka - 12302</v>
      </c>
      <c r="S3" s="319">
        <v>203387</v>
      </c>
      <c r="T3" s="319" t="str">
        <f t="shared" ref="T3:T64" si="6">CONCATENATE($S$1," - ",S3)</f>
        <v>přímá vrut - 203387</v>
      </c>
      <c r="U3" s="319">
        <v>346624</v>
      </c>
      <c r="V3" s="319" t="str">
        <f t="shared" ref="V3:V64" si="7">CONCATENATE($U$1," - ",U3)</f>
        <v>přímá euro - 346624</v>
      </c>
      <c r="W3" s="319">
        <v>211476</v>
      </c>
      <c r="X3" s="319" t="str">
        <f t="shared" ref="X3:X64" si="8">CONCATENATE($W$1," - ",W3)</f>
        <v>přímá hmoždinka - 211476</v>
      </c>
      <c r="Y3" s="318"/>
      <c r="Z3" s="318"/>
      <c r="AC3" s="317" t="str">
        <f>$O$1</f>
        <v>křížová euro</v>
      </c>
      <c r="AD3" s="471">
        <v>10</v>
      </c>
      <c r="AE3" s="316" t="e">
        <f>VLOOKUP(Ram_1!$H$15,$G:$X,AD3,0)</f>
        <v>#N/A</v>
      </c>
    </row>
    <row r="4" spans="1:31" ht="16.350000000000001" customHeight="1">
      <c r="A4" s="323" t="s">
        <v>2167</v>
      </c>
      <c r="B4" s="323" t="s">
        <v>14</v>
      </c>
      <c r="C4" s="323" t="str">
        <f>'Translate&amp;Prices&amp;Logo'!B553</f>
        <v>Naložený</v>
      </c>
      <c r="D4" s="316" t="str">
        <f t="shared" si="0"/>
        <v>úzký_BLUM_Naložený</v>
      </c>
      <c r="E4" s="323" t="str">
        <f>'Translate&amp;Prices&amp;Logo'!$B$583</f>
        <v>s pružinou bez tlumení</v>
      </c>
      <c r="F4" s="318" t="str">
        <f>'Translate&amp;Prices&amp;Logo'!$B$586</f>
        <v>černá</v>
      </c>
      <c r="G4" s="318" t="str">
        <f t="shared" si="1"/>
        <v>306329 - Naložený s pružinou bez tlumení - černá</v>
      </c>
      <c r="H4" s="319">
        <v>306329</v>
      </c>
      <c r="I4" s="319" t="s">
        <v>2169</v>
      </c>
      <c r="J4" s="319" t="s">
        <v>2169</v>
      </c>
      <c r="K4" s="319">
        <v>458360</v>
      </c>
      <c r="L4" s="319" t="str">
        <f t="shared" si="2"/>
        <v>křížová vrut - 458360</v>
      </c>
      <c r="M4" s="319" t="s">
        <v>3382</v>
      </c>
      <c r="N4" s="319" t="str">
        <f t="shared" si="3"/>
        <v>křížová vrut (excentr) - N/A</v>
      </c>
      <c r="O4" s="319" t="s">
        <v>3382</v>
      </c>
      <c r="P4" s="319" t="str">
        <f t="shared" si="4"/>
        <v>křížová euro - N/A</v>
      </c>
      <c r="Q4" s="319">
        <v>347124</v>
      </c>
      <c r="R4" s="319" t="str">
        <f t="shared" si="5"/>
        <v>křížová hmoždinka - 347124</v>
      </c>
      <c r="S4" s="319">
        <v>306320</v>
      </c>
      <c r="T4" s="319" t="str">
        <f t="shared" si="6"/>
        <v>přímá vrut - 306320</v>
      </c>
      <c r="U4" s="319" t="s">
        <v>3382</v>
      </c>
      <c r="V4" s="319" t="str">
        <f t="shared" si="7"/>
        <v>přímá euro - N/A</v>
      </c>
      <c r="W4" s="319">
        <v>409651</v>
      </c>
      <c r="X4" s="319" t="str">
        <f t="shared" si="8"/>
        <v>přímá hmoždinka - 409651</v>
      </c>
      <c r="Y4" s="318"/>
      <c r="Z4" s="318"/>
      <c r="AC4" s="317" t="str">
        <f>$Q$1</f>
        <v>křížová hmoždinka</v>
      </c>
      <c r="AD4" s="318">
        <v>12</v>
      </c>
      <c r="AE4" s="316" t="e">
        <f>VLOOKUP(Ram_1!$H$15,$G:$X,AD4,0)</f>
        <v>#N/A</v>
      </c>
    </row>
    <row r="5" spans="1:31" ht="16.350000000000001" customHeight="1">
      <c r="A5" s="323" t="s">
        <v>2167</v>
      </c>
      <c r="B5" s="323" t="s">
        <v>14</v>
      </c>
      <c r="C5" s="323" t="str">
        <f>'Translate&amp;Prices&amp;Logo'!B553</f>
        <v>Naložený</v>
      </c>
      <c r="D5" s="316" t="str">
        <f t="shared" si="0"/>
        <v>úzký_BLUM_Naložený</v>
      </c>
      <c r="E5" s="323" t="str">
        <f>'Translate&amp;Prices&amp;Logo'!$B$584</f>
        <v>tip-on bez pružiny/tlumení</v>
      </c>
      <c r="F5" s="318" t="str">
        <f>'Translate&amp;Prices&amp;Logo'!$B$585</f>
        <v>stříbrná</v>
      </c>
      <c r="G5" s="318" t="str">
        <f t="shared" si="1"/>
        <v>12109 - Naložený tip-on bez pružiny/tlumení - stříbrná</v>
      </c>
      <c r="H5" s="319">
        <v>12109</v>
      </c>
      <c r="I5" s="319" t="s">
        <v>2169</v>
      </c>
      <c r="J5" s="319">
        <v>13764</v>
      </c>
      <c r="K5" s="319">
        <v>12306</v>
      </c>
      <c r="L5" s="319" t="str">
        <f t="shared" si="2"/>
        <v>křížová vrut - 12306</v>
      </c>
      <c r="M5" s="319" t="s">
        <v>3382</v>
      </c>
      <c r="N5" s="319" t="str">
        <f t="shared" si="3"/>
        <v>křížová vrut (excentr) - N/A</v>
      </c>
      <c r="O5" s="319">
        <v>12318</v>
      </c>
      <c r="P5" s="319" t="str">
        <f t="shared" si="4"/>
        <v>křížová euro - 12318</v>
      </c>
      <c r="Q5" s="319">
        <v>12302</v>
      </c>
      <c r="R5" s="319" t="str">
        <f t="shared" si="5"/>
        <v>křížová hmoždinka - 12302</v>
      </c>
      <c r="S5" s="319">
        <v>203387</v>
      </c>
      <c r="T5" s="319" t="str">
        <f t="shared" si="6"/>
        <v>přímá vrut - 203387</v>
      </c>
      <c r="U5" s="319">
        <v>346624</v>
      </c>
      <c r="V5" s="319" t="str">
        <f t="shared" si="7"/>
        <v>přímá euro - 346624</v>
      </c>
      <c r="W5" s="319">
        <v>211476</v>
      </c>
      <c r="X5" s="319" t="str">
        <f t="shared" si="8"/>
        <v>přímá hmoždinka - 211476</v>
      </c>
      <c r="Y5" s="318"/>
      <c r="Z5" s="318"/>
      <c r="AC5" s="317" t="str">
        <f>$S$1</f>
        <v>přímá vrut</v>
      </c>
      <c r="AD5" s="471">
        <v>14</v>
      </c>
      <c r="AE5" s="316" t="e">
        <f>VLOOKUP(Ram_1!$H$15,$G:$X,AD5,0)</f>
        <v>#N/A</v>
      </c>
    </row>
    <row r="6" spans="1:31" ht="16.350000000000001" customHeight="1">
      <c r="A6" s="318" t="s">
        <v>2167</v>
      </c>
      <c r="B6" s="318" t="s">
        <v>14</v>
      </c>
      <c r="C6" s="318" t="str">
        <f>'Translate&amp;Prices&amp;Logo'!B554</f>
        <v>Polonaložený</v>
      </c>
      <c r="D6" s="316" t="str">
        <f t="shared" si="0"/>
        <v>úzký_BLUM_Polonaložený</v>
      </c>
      <c r="E6" s="318" t="str">
        <f>'Translate&amp;Prices&amp;Logo'!$B$582</f>
        <v>s pružinou a tlumením</v>
      </c>
      <c r="F6" s="318" t="str">
        <f>'Translate&amp;Prices&amp;Logo'!$B$585</f>
        <v>stříbrná</v>
      </c>
      <c r="G6" s="318" t="str">
        <f t="shared" si="1"/>
        <v>118120 - Polonaložený s pružinou a tlumením - stříbrná</v>
      </c>
      <c r="H6" s="319">
        <v>118120</v>
      </c>
      <c r="I6" s="319" t="s">
        <v>2169</v>
      </c>
      <c r="J6" s="319" t="s">
        <v>2169</v>
      </c>
      <c r="K6" s="319">
        <v>12306</v>
      </c>
      <c r="L6" s="319" t="str">
        <f t="shared" si="2"/>
        <v>křížová vrut - 12306</v>
      </c>
      <c r="M6" s="319" t="s">
        <v>3382</v>
      </c>
      <c r="N6" s="319" t="str">
        <f t="shared" si="3"/>
        <v>křížová vrut (excentr) - N/A</v>
      </c>
      <c r="O6" s="319">
        <v>12318</v>
      </c>
      <c r="P6" s="319" t="str">
        <f t="shared" si="4"/>
        <v>křížová euro - 12318</v>
      </c>
      <c r="Q6" s="319">
        <v>12302</v>
      </c>
      <c r="R6" s="319" t="str">
        <f t="shared" si="5"/>
        <v>křížová hmoždinka - 12302</v>
      </c>
      <c r="S6" s="319">
        <v>203387</v>
      </c>
      <c r="T6" s="319" t="str">
        <f t="shared" si="6"/>
        <v>přímá vrut - 203387</v>
      </c>
      <c r="U6" s="319">
        <v>346624</v>
      </c>
      <c r="V6" s="319" t="str">
        <f t="shared" si="7"/>
        <v>přímá euro - 346624</v>
      </c>
      <c r="W6" s="319">
        <v>211476</v>
      </c>
      <c r="X6" s="319" t="str">
        <f t="shared" si="8"/>
        <v>přímá hmoždinka - 211476</v>
      </c>
      <c r="Y6" s="318"/>
      <c r="Z6" s="318"/>
      <c r="AC6" s="317" t="str">
        <f>$U$1</f>
        <v>přímá euro</v>
      </c>
      <c r="AD6" s="318">
        <v>16</v>
      </c>
      <c r="AE6" s="316" t="e">
        <f>VLOOKUP(Ram_1!$H$15,$G:$X,AD6,0)</f>
        <v>#N/A</v>
      </c>
    </row>
    <row r="7" spans="1:31" ht="16.350000000000001" customHeight="1">
      <c r="A7" s="318" t="s">
        <v>2167</v>
      </c>
      <c r="B7" s="318" t="s">
        <v>14</v>
      </c>
      <c r="C7" s="318" t="str">
        <f>'Translate&amp;Prices&amp;Logo'!B554</f>
        <v>Polonaložený</v>
      </c>
      <c r="D7" s="316" t="str">
        <f t="shared" si="0"/>
        <v>úzký_BLUM_Polonaložený</v>
      </c>
      <c r="E7" s="318" t="str">
        <f>'Translate&amp;Prices&amp;Logo'!$B$583</f>
        <v>s pružinou bez tlumení</v>
      </c>
      <c r="F7" s="318" t="str">
        <f>'Translate&amp;Prices&amp;Logo'!$B$585</f>
        <v>stříbrná</v>
      </c>
      <c r="G7" s="318" t="str">
        <f t="shared" si="1"/>
        <v>12107 - Polonaložený s pružinou bez tlumení - stříbrná</v>
      </c>
      <c r="H7" s="319">
        <v>12107</v>
      </c>
      <c r="I7" s="319" t="s">
        <v>2169</v>
      </c>
      <c r="J7" s="319" t="s">
        <v>2169</v>
      </c>
      <c r="K7" s="319">
        <v>12306</v>
      </c>
      <c r="L7" s="319" t="str">
        <f t="shared" si="2"/>
        <v>křížová vrut - 12306</v>
      </c>
      <c r="M7" s="319" t="s">
        <v>3382</v>
      </c>
      <c r="N7" s="319" t="str">
        <f t="shared" si="3"/>
        <v>křížová vrut (excentr) - N/A</v>
      </c>
      <c r="O7" s="319">
        <v>12318</v>
      </c>
      <c r="P7" s="319" t="str">
        <f t="shared" si="4"/>
        <v>křížová euro - 12318</v>
      </c>
      <c r="Q7" s="319">
        <v>12302</v>
      </c>
      <c r="R7" s="319" t="str">
        <f t="shared" si="5"/>
        <v>křížová hmoždinka - 12302</v>
      </c>
      <c r="S7" s="319">
        <v>203387</v>
      </c>
      <c r="T7" s="319" t="str">
        <f t="shared" si="6"/>
        <v>přímá vrut - 203387</v>
      </c>
      <c r="U7" s="319">
        <v>346624</v>
      </c>
      <c r="V7" s="319" t="str">
        <f t="shared" si="7"/>
        <v>přímá euro - 346624</v>
      </c>
      <c r="W7" s="319">
        <v>211476</v>
      </c>
      <c r="X7" s="319" t="str">
        <f t="shared" si="8"/>
        <v>přímá hmoždinka - 211476</v>
      </c>
      <c r="Y7" s="318"/>
      <c r="Z7" s="318"/>
      <c r="AC7" s="317" t="str">
        <f>$W$1</f>
        <v>přímá hmoždinka</v>
      </c>
      <c r="AD7" s="471">
        <v>18</v>
      </c>
      <c r="AE7" s="316" t="e">
        <f>VLOOKUP(Ram_1!$H$15,$G:$X,AD7,0)</f>
        <v>#N/A</v>
      </c>
    </row>
    <row r="8" spans="1:31" ht="16.350000000000001" customHeight="1">
      <c r="A8" s="323" t="s">
        <v>2167</v>
      </c>
      <c r="B8" s="323" t="s">
        <v>14</v>
      </c>
      <c r="C8" s="323" t="str">
        <f>'Translate&amp;Prices&amp;Logo'!B555</f>
        <v>Vložený</v>
      </c>
      <c r="D8" s="316" t="str">
        <f t="shared" si="0"/>
        <v>úzký_BLUM_Vložený</v>
      </c>
      <c r="E8" s="323" t="str">
        <f>'Translate&amp;Prices&amp;Logo'!$B$582</f>
        <v>s pružinou a tlumením</v>
      </c>
      <c r="F8" s="318" t="str">
        <f>'Translate&amp;Prices&amp;Logo'!$B$585</f>
        <v>stříbrná</v>
      </c>
      <c r="G8" s="318" t="str">
        <f t="shared" si="1"/>
        <v>118121 - Vložený s pružinou a tlumením - stříbrná</v>
      </c>
      <c r="H8" s="319">
        <v>118121</v>
      </c>
      <c r="I8" s="319" t="s">
        <v>2169</v>
      </c>
      <c r="J8" s="319" t="s">
        <v>2169</v>
      </c>
      <c r="K8" s="319">
        <v>12306</v>
      </c>
      <c r="L8" s="319" t="str">
        <f t="shared" si="2"/>
        <v>křížová vrut - 12306</v>
      </c>
      <c r="M8" s="319" t="s">
        <v>3382</v>
      </c>
      <c r="N8" s="319" t="str">
        <f t="shared" si="3"/>
        <v>křížová vrut (excentr) - N/A</v>
      </c>
      <c r="O8" s="319">
        <v>12318</v>
      </c>
      <c r="P8" s="319" t="str">
        <f t="shared" si="4"/>
        <v>křížová euro - 12318</v>
      </c>
      <c r="Q8" s="319">
        <v>12302</v>
      </c>
      <c r="R8" s="319" t="str">
        <f t="shared" si="5"/>
        <v>křížová hmoždinka - 12302</v>
      </c>
      <c r="S8" s="319">
        <v>203387</v>
      </c>
      <c r="T8" s="319" t="str">
        <f t="shared" si="6"/>
        <v>přímá vrut - 203387</v>
      </c>
      <c r="U8" s="319">
        <v>346624</v>
      </c>
      <c r="V8" s="319" t="str">
        <f t="shared" si="7"/>
        <v>přímá euro - 346624</v>
      </c>
      <c r="W8" s="319">
        <v>211476</v>
      </c>
      <c r="X8" s="319" t="str">
        <f t="shared" si="8"/>
        <v>přímá hmoždinka - 211476</v>
      </c>
      <c r="Y8" s="318"/>
      <c r="Z8" s="318"/>
    </row>
    <row r="9" spans="1:31" ht="16.350000000000001" customHeight="1">
      <c r="A9" s="323" t="s">
        <v>2167</v>
      </c>
      <c r="B9" s="323" t="s">
        <v>14</v>
      </c>
      <c r="C9" s="323" t="str">
        <f>'Translate&amp;Prices&amp;Logo'!B555</f>
        <v>Vložený</v>
      </c>
      <c r="D9" s="316" t="str">
        <f t="shared" si="0"/>
        <v>úzký_BLUM_Vložený</v>
      </c>
      <c r="E9" s="323" t="str">
        <f>'Translate&amp;Prices&amp;Logo'!$B$583</f>
        <v>s pružinou bez tlumení</v>
      </c>
      <c r="F9" s="318" t="str">
        <f>'Translate&amp;Prices&amp;Logo'!$B$585</f>
        <v>stříbrná</v>
      </c>
      <c r="G9" s="318" t="str">
        <f t="shared" si="1"/>
        <v>12108 - Vložený s pružinou bez tlumení - stříbrná</v>
      </c>
      <c r="H9" s="319">
        <v>12108</v>
      </c>
      <c r="I9" s="319" t="s">
        <v>2169</v>
      </c>
      <c r="J9" s="319" t="s">
        <v>2169</v>
      </c>
      <c r="K9" s="319">
        <v>12306</v>
      </c>
      <c r="L9" s="319" t="str">
        <f t="shared" si="2"/>
        <v>křížová vrut - 12306</v>
      </c>
      <c r="M9" s="319" t="s">
        <v>3382</v>
      </c>
      <c r="N9" s="319" t="str">
        <f t="shared" si="3"/>
        <v>křížová vrut (excentr) - N/A</v>
      </c>
      <c r="O9" s="319">
        <v>12318</v>
      </c>
      <c r="P9" s="319" t="str">
        <f t="shared" si="4"/>
        <v>křížová euro - 12318</v>
      </c>
      <c r="Q9" s="319">
        <v>12302</v>
      </c>
      <c r="R9" s="319" t="str">
        <f t="shared" si="5"/>
        <v>křížová hmoždinka - 12302</v>
      </c>
      <c r="S9" s="319">
        <v>203387</v>
      </c>
      <c r="T9" s="319" t="str">
        <f t="shared" si="6"/>
        <v>přímá vrut - 203387</v>
      </c>
      <c r="U9" s="319">
        <v>346624</v>
      </c>
      <c r="V9" s="319" t="str">
        <f t="shared" si="7"/>
        <v>přímá euro - 346624</v>
      </c>
      <c r="W9" s="319">
        <v>211476</v>
      </c>
      <c r="X9" s="319" t="str">
        <f t="shared" si="8"/>
        <v>přímá hmoždinka - 211476</v>
      </c>
      <c r="Y9" s="318"/>
      <c r="Z9" s="318"/>
    </row>
    <row r="10" spans="1:31" ht="16.350000000000001" customHeight="1">
      <c r="A10" s="318" t="s">
        <v>2167</v>
      </c>
      <c r="B10" s="318" t="s">
        <v>1026</v>
      </c>
      <c r="C10" s="318" t="str">
        <f>'Translate&amp;Prices&amp;Logo'!B553</f>
        <v>Naložený</v>
      </c>
      <c r="D10" s="316" t="str">
        <f t="shared" si="0"/>
        <v>úzký_HETTICH_Naložený</v>
      </c>
      <c r="E10" s="318" t="str">
        <f>'Translate&amp;Prices&amp;Logo'!$B$582</f>
        <v>s pružinou a tlumením</v>
      </c>
      <c r="F10" s="318" t="str">
        <f>'Translate&amp;Prices&amp;Logo'!$B$585</f>
        <v>stříbrná</v>
      </c>
      <c r="G10" s="318" t="str">
        <f t="shared" si="1"/>
        <v>300279 - Naložený s pružinou a tlumením - stříbrná</v>
      </c>
      <c r="H10" s="319">
        <v>300279</v>
      </c>
      <c r="I10" s="319" t="s">
        <v>2169</v>
      </c>
      <c r="J10" s="319" t="s">
        <v>2169</v>
      </c>
      <c r="K10" s="319">
        <v>106403</v>
      </c>
      <c r="L10" s="319" t="str">
        <f t="shared" si="2"/>
        <v>křížová vrut - 106403</v>
      </c>
      <c r="M10" s="319" t="s">
        <v>3382</v>
      </c>
      <c r="N10" s="319" t="str">
        <f t="shared" si="3"/>
        <v>křížová vrut (excentr) - N/A</v>
      </c>
      <c r="O10" s="319">
        <v>119240</v>
      </c>
      <c r="P10" s="319" t="str">
        <f t="shared" si="4"/>
        <v>křížová euro - 119240</v>
      </c>
      <c r="Q10" s="319">
        <v>136276</v>
      </c>
      <c r="R10" s="319" t="str">
        <f t="shared" si="5"/>
        <v>křížová hmoždinka - 136276</v>
      </c>
      <c r="S10" s="319">
        <v>300319</v>
      </c>
      <c r="T10" s="319" t="str">
        <f t="shared" si="6"/>
        <v>přímá vrut - 300319</v>
      </c>
      <c r="U10" s="319" t="s">
        <v>3382</v>
      </c>
      <c r="V10" s="319" t="str">
        <f t="shared" si="7"/>
        <v>přímá euro - N/A</v>
      </c>
      <c r="W10" s="319" t="s">
        <v>3382</v>
      </c>
      <c r="X10" s="319" t="str">
        <f t="shared" si="8"/>
        <v>přímá hmoždinka - N/A</v>
      </c>
      <c r="Y10" s="318"/>
      <c r="Z10" s="318"/>
    </row>
    <row r="11" spans="1:31" ht="16.350000000000001" customHeight="1">
      <c r="A11" s="318" t="s">
        <v>2167</v>
      </c>
      <c r="B11" s="318" t="s">
        <v>1026</v>
      </c>
      <c r="C11" s="318" t="str">
        <f>'Translate&amp;Prices&amp;Logo'!B553</f>
        <v>Naložený</v>
      </c>
      <c r="D11" s="316" t="str">
        <f t="shared" si="0"/>
        <v>úzký_HETTICH_Naložený</v>
      </c>
      <c r="E11" s="318" t="str">
        <f>'Translate&amp;Prices&amp;Logo'!$B$582</f>
        <v>s pružinou a tlumením</v>
      </c>
      <c r="F11" s="318" t="str">
        <f>'Translate&amp;Prices&amp;Logo'!$B$586</f>
        <v>černá</v>
      </c>
      <c r="G11" s="318" t="str">
        <f t="shared" si="1"/>
        <v>344697 - Naložený s pružinou a tlumením - černá</v>
      </c>
      <c r="H11" s="319">
        <v>344697</v>
      </c>
      <c r="I11" s="319" t="s">
        <v>2169</v>
      </c>
      <c r="J11" s="319" t="s">
        <v>2169</v>
      </c>
      <c r="K11" s="319" t="s">
        <v>3382</v>
      </c>
      <c r="L11" s="319" t="str">
        <f t="shared" si="2"/>
        <v>křížová vrut - N/A</v>
      </c>
      <c r="M11" s="319" t="s">
        <v>3382</v>
      </c>
      <c r="N11" s="319" t="str">
        <f t="shared" si="3"/>
        <v>křížová vrut (excentr) - N/A</v>
      </c>
      <c r="O11" s="319">
        <v>344723</v>
      </c>
      <c r="P11" s="319" t="str">
        <f t="shared" si="4"/>
        <v>křížová euro - 344723</v>
      </c>
      <c r="Q11" s="319">
        <v>344727</v>
      </c>
      <c r="R11" s="319" t="str">
        <f t="shared" si="5"/>
        <v>křížová hmoždinka - 344727</v>
      </c>
      <c r="S11" s="319">
        <v>397949</v>
      </c>
      <c r="T11" s="319" t="str">
        <f t="shared" si="6"/>
        <v>přímá vrut - 397949</v>
      </c>
      <c r="U11" s="319" t="s">
        <v>3382</v>
      </c>
      <c r="V11" s="319" t="str">
        <f t="shared" si="7"/>
        <v>přímá euro - N/A</v>
      </c>
      <c r="W11" s="319" t="s">
        <v>3382</v>
      </c>
      <c r="X11" s="319" t="str">
        <f t="shared" si="8"/>
        <v>přímá hmoždinka - N/A</v>
      </c>
      <c r="Y11" s="318"/>
      <c r="Z11" s="318"/>
    </row>
    <row r="12" spans="1:31" ht="16.350000000000001" customHeight="1">
      <c r="A12" s="318" t="s">
        <v>2167</v>
      </c>
      <c r="B12" s="318" t="s">
        <v>1026</v>
      </c>
      <c r="C12" s="318" t="str">
        <f>'Translate&amp;Prices&amp;Logo'!B553</f>
        <v>Naložený</v>
      </c>
      <c r="D12" s="316" t="str">
        <f t="shared" si="0"/>
        <v>úzký_HETTICH_Naložený</v>
      </c>
      <c r="E12" s="318" t="str">
        <f>'Translate&amp;Prices&amp;Logo'!$B$583</f>
        <v>s pružinou bez tlumení</v>
      </c>
      <c r="F12" s="318" t="str">
        <f>'Translate&amp;Prices&amp;Logo'!$B$585</f>
        <v>stříbrná</v>
      </c>
      <c r="G12" s="318" t="str">
        <f t="shared" si="1"/>
        <v>300282 - Naložený s pružinou bez tlumení - stříbrná</v>
      </c>
      <c r="H12" s="319">
        <v>300282</v>
      </c>
      <c r="I12" s="319" t="s">
        <v>2169</v>
      </c>
      <c r="J12" s="319" t="s">
        <v>2169</v>
      </c>
      <c r="K12" s="319">
        <v>106403</v>
      </c>
      <c r="L12" s="319" t="str">
        <f t="shared" si="2"/>
        <v>křížová vrut - 106403</v>
      </c>
      <c r="M12" s="319" t="s">
        <v>3382</v>
      </c>
      <c r="N12" s="319" t="str">
        <f t="shared" si="3"/>
        <v>křížová vrut (excentr) - N/A</v>
      </c>
      <c r="O12" s="319">
        <v>119240</v>
      </c>
      <c r="P12" s="319" t="str">
        <f t="shared" si="4"/>
        <v>křížová euro - 119240</v>
      </c>
      <c r="Q12" s="319">
        <v>136276</v>
      </c>
      <c r="R12" s="319" t="str">
        <f t="shared" si="5"/>
        <v>křížová hmoždinka - 136276</v>
      </c>
      <c r="S12" s="319">
        <v>300319</v>
      </c>
      <c r="T12" s="319" t="str">
        <f t="shared" si="6"/>
        <v>přímá vrut - 300319</v>
      </c>
      <c r="U12" s="319" t="s">
        <v>3382</v>
      </c>
      <c r="V12" s="319" t="str">
        <f t="shared" si="7"/>
        <v>přímá euro - N/A</v>
      </c>
      <c r="W12" s="319" t="s">
        <v>3382</v>
      </c>
      <c r="X12" s="319" t="str">
        <f t="shared" si="8"/>
        <v>přímá hmoždinka - N/A</v>
      </c>
      <c r="Y12" s="318"/>
      <c r="Z12" s="318"/>
    </row>
    <row r="13" spans="1:31" ht="16.350000000000001" customHeight="1">
      <c r="A13" s="318" t="s">
        <v>2167</v>
      </c>
      <c r="B13" s="318" t="s">
        <v>1026</v>
      </c>
      <c r="C13" s="318" t="str">
        <f>'Translate&amp;Prices&amp;Logo'!B553</f>
        <v>Naložený</v>
      </c>
      <c r="D13" s="316" t="str">
        <f t="shared" si="0"/>
        <v>úzký_HETTICH_Naložený</v>
      </c>
      <c r="E13" s="318" t="str">
        <f>'Translate&amp;Prices&amp;Logo'!$B$584</f>
        <v>tip-on bez pružiny/tlumení</v>
      </c>
      <c r="F13" s="318" t="str">
        <f>'Translate&amp;Prices&amp;Logo'!$B$585</f>
        <v>stříbrná</v>
      </c>
      <c r="G13" s="318" t="str">
        <f t="shared" si="1"/>
        <v>300285 - Naložený tip-on bez pružiny/tlumení - stříbrná</v>
      </c>
      <c r="H13" s="319">
        <v>300285</v>
      </c>
      <c r="I13" s="319" t="s">
        <v>2169</v>
      </c>
      <c r="J13" s="319" t="s">
        <v>2169</v>
      </c>
      <c r="K13" s="319">
        <v>106403</v>
      </c>
      <c r="L13" s="319" t="str">
        <f t="shared" si="2"/>
        <v>křížová vrut - 106403</v>
      </c>
      <c r="M13" s="319" t="s">
        <v>3382</v>
      </c>
      <c r="N13" s="319" t="str">
        <f t="shared" si="3"/>
        <v>křížová vrut (excentr) - N/A</v>
      </c>
      <c r="O13" s="319">
        <v>119240</v>
      </c>
      <c r="P13" s="319" t="str">
        <f t="shared" si="4"/>
        <v>křížová euro - 119240</v>
      </c>
      <c r="Q13" s="319">
        <v>136276</v>
      </c>
      <c r="R13" s="319" t="str">
        <f t="shared" si="5"/>
        <v>křížová hmoždinka - 136276</v>
      </c>
      <c r="S13" s="319">
        <v>300319</v>
      </c>
      <c r="T13" s="319" t="str">
        <f t="shared" si="6"/>
        <v>přímá vrut - 300319</v>
      </c>
      <c r="U13" s="319" t="s">
        <v>3382</v>
      </c>
      <c r="V13" s="319" t="str">
        <f t="shared" si="7"/>
        <v>přímá euro - N/A</v>
      </c>
      <c r="W13" s="319" t="s">
        <v>3382</v>
      </c>
      <c r="X13" s="319" t="str">
        <f t="shared" si="8"/>
        <v>přímá hmoždinka - N/A</v>
      </c>
      <c r="Y13" s="318"/>
      <c r="Z13" s="318"/>
    </row>
    <row r="14" spans="1:31" ht="16.350000000000001" customHeight="1">
      <c r="A14" s="323" t="s">
        <v>2167</v>
      </c>
      <c r="B14" s="323" t="s">
        <v>1026</v>
      </c>
      <c r="C14" s="323" t="str">
        <f>'Translate&amp;Prices&amp;Logo'!B554</f>
        <v>Polonaložený</v>
      </c>
      <c r="D14" s="316" t="str">
        <f t="shared" si="0"/>
        <v>úzký_HETTICH_Polonaložený</v>
      </c>
      <c r="E14" s="323" t="str">
        <f>'Translate&amp;Prices&amp;Logo'!$B$582</f>
        <v>s pružinou a tlumením</v>
      </c>
      <c r="F14" s="318" t="str">
        <f>'Translate&amp;Prices&amp;Logo'!$B$585</f>
        <v>stříbrná</v>
      </c>
      <c r="G14" s="318" t="str">
        <f t="shared" si="1"/>
        <v>300280 - Polonaložený s pružinou a tlumením - stříbrná</v>
      </c>
      <c r="H14" s="319">
        <v>300280</v>
      </c>
      <c r="I14" s="319" t="s">
        <v>2169</v>
      </c>
      <c r="J14" s="319" t="s">
        <v>2169</v>
      </c>
      <c r="K14" s="319">
        <v>106403</v>
      </c>
      <c r="L14" s="319" t="str">
        <f t="shared" si="2"/>
        <v>křížová vrut - 106403</v>
      </c>
      <c r="M14" s="319" t="s">
        <v>3382</v>
      </c>
      <c r="N14" s="319" t="str">
        <f t="shared" si="3"/>
        <v>křížová vrut (excentr) - N/A</v>
      </c>
      <c r="O14" s="319">
        <v>119240</v>
      </c>
      <c r="P14" s="319" t="str">
        <f t="shared" si="4"/>
        <v>křížová euro - 119240</v>
      </c>
      <c r="Q14" s="319">
        <v>136276</v>
      </c>
      <c r="R14" s="319" t="str">
        <f t="shared" si="5"/>
        <v>křížová hmoždinka - 136276</v>
      </c>
      <c r="S14" s="319">
        <v>300319</v>
      </c>
      <c r="T14" s="319" t="str">
        <f t="shared" si="6"/>
        <v>přímá vrut - 300319</v>
      </c>
      <c r="U14" s="319" t="s">
        <v>3382</v>
      </c>
      <c r="V14" s="319" t="str">
        <f t="shared" si="7"/>
        <v>přímá euro - N/A</v>
      </c>
      <c r="W14" s="319" t="s">
        <v>3382</v>
      </c>
      <c r="X14" s="319" t="str">
        <f t="shared" si="8"/>
        <v>přímá hmoždinka - N/A</v>
      </c>
      <c r="Y14" s="318"/>
      <c r="Z14" s="318"/>
    </row>
    <row r="15" spans="1:31" ht="16.350000000000001" customHeight="1">
      <c r="A15" s="323" t="s">
        <v>2167</v>
      </c>
      <c r="B15" s="323" t="s">
        <v>1026</v>
      </c>
      <c r="C15" s="323" t="str">
        <f>'Translate&amp;Prices&amp;Logo'!B554</f>
        <v>Polonaložený</v>
      </c>
      <c r="D15" s="316" t="str">
        <f t="shared" si="0"/>
        <v>úzký_HETTICH_Polonaložený</v>
      </c>
      <c r="E15" s="323" t="str">
        <f>'Translate&amp;Prices&amp;Logo'!$B$583</f>
        <v>s pružinou bez tlumení</v>
      </c>
      <c r="F15" s="318" t="str">
        <f>'Translate&amp;Prices&amp;Logo'!$B$585</f>
        <v>stříbrná</v>
      </c>
      <c r="G15" s="318" t="str">
        <f t="shared" si="1"/>
        <v>300283 - Polonaložený s pružinou bez tlumení - stříbrná</v>
      </c>
      <c r="H15" s="319">
        <v>300283</v>
      </c>
      <c r="I15" s="319" t="s">
        <v>2169</v>
      </c>
      <c r="J15" s="319" t="s">
        <v>2169</v>
      </c>
      <c r="K15" s="319">
        <v>106403</v>
      </c>
      <c r="L15" s="319" t="str">
        <f t="shared" si="2"/>
        <v>křížová vrut - 106403</v>
      </c>
      <c r="M15" s="319" t="s">
        <v>3382</v>
      </c>
      <c r="N15" s="319" t="str">
        <f t="shared" si="3"/>
        <v>křížová vrut (excentr) - N/A</v>
      </c>
      <c r="O15" s="319">
        <v>119240</v>
      </c>
      <c r="P15" s="319" t="str">
        <f t="shared" si="4"/>
        <v>křížová euro - 119240</v>
      </c>
      <c r="Q15" s="319">
        <v>136276</v>
      </c>
      <c r="R15" s="319" t="str">
        <f t="shared" si="5"/>
        <v>křížová hmoždinka - 136276</v>
      </c>
      <c r="S15" s="319">
        <v>300319</v>
      </c>
      <c r="T15" s="319" t="str">
        <f t="shared" si="6"/>
        <v>přímá vrut - 300319</v>
      </c>
      <c r="U15" s="319" t="s">
        <v>3382</v>
      </c>
      <c r="V15" s="319" t="str">
        <f t="shared" si="7"/>
        <v>přímá euro - N/A</v>
      </c>
      <c r="W15" s="319" t="s">
        <v>3382</v>
      </c>
      <c r="X15" s="319" t="str">
        <f t="shared" si="8"/>
        <v>přímá hmoždinka - N/A</v>
      </c>
      <c r="Y15" s="318"/>
      <c r="Z15" s="318"/>
    </row>
    <row r="16" spans="1:31" ht="16.350000000000001" customHeight="1">
      <c r="A16" s="323" t="s">
        <v>2167</v>
      </c>
      <c r="B16" s="323" t="s">
        <v>1026</v>
      </c>
      <c r="C16" s="323" t="str">
        <f>'Translate&amp;Prices&amp;Logo'!B554</f>
        <v>Polonaložený</v>
      </c>
      <c r="D16" s="316" t="str">
        <f t="shared" si="0"/>
        <v>úzký_HETTICH_Polonaložený</v>
      </c>
      <c r="E16" s="323" t="str">
        <f>'Translate&amp;Prices&amp;Logo'!$B$584</f>
        <v>tip-on bez pružiny/tlumení</v>
      </c>
      <c r="F16" s="318" t="str">
        <f>'Translate&amp;Prices&amp;Logo'!$B$585</f>
        <v>stříbrná</v>
      </c>
      <c r="G16" s="318" t="str">
        <f t="shared" si="1"/>
        <v>300286 - Polonaložený tip-on bez pružiny/tlumení - stříbrná</v>
      </c>
      <c r="H16" s="319">
        <v>300286</v>
      </c>
      <c r="I16" s="319" t="s">
        <v>2169</v>
      </c>
      <c r="J16" s="319" t="s">
        <v>2169</v>
      </c>
      <c r="K16" s="319">
        <v>106403</v>
      </c>
      <c r="L16" s="319" t="str">
        <f t="shared" si="2"/>
        <v>křížová vrut - 106403</v>
      </c>
      <c r="M16" s="319" t="s">
        <v>3382</v>
      </c>
      <c r="N16" s="319" t="str">
        <f t="shared" si="3"/>
        <v>křížová vrut (excentr) - N/A</v>
      </c>
      <c r="O16" s="319">
        <v>119240</v>
      </c>
      <c r="P16" s="319" t="str">
        <f t="shared" si="4"/>
        <v>křížová euro - 119240</v>
      </c>
      <c r="Q16" s="319">
        <v>136276</v>
      </c>
      <c r="R16" s="319" t="str">
        <f t="shared" si="5"/>
        <v>křížová hmoždinka - 136276</v>
      </c>
      <c r="S16" s="319">
        <v>300319</v>
      </c>
      <c r="T16" s="319" t="str">
        <f t="shared" si="6"/>
        <v>přímá vrut - 300319</v>
      </c>
      <c r="U16" s="319" t="s">
        <v>3382</v>
      </c>
      <c r="V16" s="319" t="str">
        <f t="shared" si="7"/>
        <v>přímá euro - N/A</v>
      </c>
      <c r="W16" s="319" t="s">
        <v>3382</v>
      </c>
      <c r="X16" s="319" t="str">
        <f t="shared" si="8"/>
        <v>přímá hmoždinka - N/A</v>
      </c>
      <c r="Y16" s="318"/>
      <c r="Z16" s="318"/>
    </row>
    <row r="17" spans="1:26" ht="16.350000000000001" customHeight="1">
      <c r="A17" s="318" t="s">
        <v>2167</v>
      </c>
      <c r="B17" s="318" t="s">
        <v>1026</v>
      </c>
      <c r="C17" s="318" t="str">
        <f>'Translate&amp;Prices&amp;Logo'!B555</f>
        <v>Vložený</v>
      </c>
      <c r="D17" s="316" t="str">
        <f t="shared" si="0"/>
        <v>úzký_HETTICH_Vložený</v>
      </c>
      <c r="E17" s="318" t="str">
        <f>'Translate&amp;Prices&amp;Logo'!$B$582</f>
        <v>s pružinou a tlumením</v>
      </c>
      <c r="F17" s="318" t="str">
        <f>'Translate&amp;Prices&amp;Logo'!$B$585</f>
        <v>stříbrná</v>
      </c>
      <c r="G17" s="318" t="str">
        <f t="shared" si="1"/>
        <v>300281 - Vložený s pružinou a tlumením - stříbrná</v>
      </c>
      <c r="H17" s="319">
        <v>300281</v>
      </c>
      <c r="I17" s="319" t="s">
        <v>2169</v>
      </c>
      <c r="J17" s="319" t="s">
        <v>2169</v>
      </c>
      <c r="K17" s="319">
        <v>106403</v>
      </c>
      <c r="L17" s="319" t="str">
        <f t="shared" si="2"/>
        <v>křížová vrut - 106403</v>
      </c>
      <c r="M17" s="319" t="s">
        <v>3382</v>
      </c>
      <c r="N17" s="319" t="str">
        <f t="shared" si="3"/>
        <v>křížová vrut (excentr) - N/A</v>
      </c>
      <c r="O17" s="319">
        <v>119240</v>
      </c>
      <c r="P17" s="319" t="str">
        <f t="shared" si="4"/>
        <v>křížová euro - 119240</v>
      </c>
      <c r="Q17" s="319">
        <v>136276</v>
      </c>
      <c r="R17" s="319" t="str">
        <f t="shared" si="5"/>
        <v>křížová hmoždinka - 136276</v>
      </c>
      <c r="S17" s="319">
        <v>300319</v>
      </c>
      <c r="T17" s="319" t="str">
        <f t="shared" si="6"/>
        <v>přímá vrut - 300319</v>
      </c>
      <c r="U17" s="319" t="s">
        <v>3382</v>
      </c>
      <c r="V17" s="319" t="str">
        <f t="shared" si="7"/>
        <v>přímá euro - N/A</v>
      </c>
      <c r="W17" s="319" t="s">
        <v>3382</v>
      </c>
      <c r="X17" s="319" t="str">
        <f t="shared" si="8"/>
        <v>přímá hmoždinka - N/A</v>
      </c>
      <c r="Y17" s="318"/>
      <c r="Z17" s="318"/>
    </row>
    <row r="18" spans="1:26" ht="16.350000000000001" customHeight="1">
      <c r="A18" s="318" t="s">
        <v>2167</v>
      </c>
      <c r="B18" s="318" t="s">
        <v>1026</v>
      </c>
      <c r="C18" s="318" t="str">
        <f>'Translate&amp;Prices&amp;Logo'!B555</f>
        <v>Vložený</v>
      </c>
      <c r="D18" s="316" t="str">
        <f t="shared" si="0"/>
        <v>úzký_HETTICH_Vložený</v>
      </c>
      <c r="E18" s="318" t="str">
        <f>'Translate&amp;Prices&amp;Logo'!$B$583</f>
        <v>s pružinou bez tlumení</v>
      </c>
      <c r="F18" s="318" t="str">
        <f>'Translate&amp;Prices&amp;Logo'!$B$585</f>
        <v>stříbrná</v>
      </c>
      <c r="G18" s="318" t="str">
        <f t="shared" si="1"/>
        <v>300284 - Vložený s pružinou bez tlumení - stříbrná</v>
      </c>
      <c r="H18" s="319">
        <v>300284</v>
      </c>
      <c r="I18" s="319" t="s">
        <v>2169</v>
      </c>
      <c r="J18" s="319" t="s">
        <v>2169</v>
      </c>
      <c r="K18" s="319">
        <v>106403</v>
      </c>
      <c r="L18" s="319" t="str">
        <f t="shared" si="2"/>
        <v>křížová vrut - 106403</v>
      </c>
      <c r="M18" s="319" t="s">
        <v>3382</v>
      </c>
      <c r="N18" s="319" t="str">
        <f t="shared" si="3"/>
        <v>křížová vrut (excentr) - N/A</v>
      </c>
      <c r="O18" s="319">
        <v>119240</v>
      </c>
      <c r="P18" s="319" t="str">
        <f t="shared" si="4"/>
        <v>křížová euro - 119240</v>
      </c>
      <c r="Q18" s="319">
        <v>136276</v>
      </c>
      <c r="R18" s="319" t="str">
        <f t="shared" si="5"/>
        <v>křížová hmoždinka - 136276</v>
      </c>
      <c r="S18" s="319">
        <v>300319</v>
      </c>
      <c r="T18" s="319" t="str">
        <f t="shared" si="6"/>
        <v>přímá vrut - 300319</v>
      </c>
      <c r="U18" s="319" t="s">
        <v>3382</v>
      </c>
      <c r="V18" s="319" t="str">
        <f t="shared" si="7"/>
        <v>přímá euro - N/A</v>
      </c>
      <c r="W18" s="319" t="s">
        <v>3382</v>
      </c>
      <c r="X18" s="319" t="str">
        <f t="shared" si="8"/>
        <v>přímá hmoždinka - N/A</v>
      </c>
      <c r="Y18" s="318"/>
      <c r="Z18" s="318"/>
    </row>
    <row r="19" spans="1:26" ht="16.350000000000001" customHeight="1">
      <c r="A19" s="318" t="s">
        <v>2167</v>
      </c>
      <c r="B19" s="318" t="s">
        <v>1026</v>
      </c>
      <c r="C19" s="318" t="str">
        <f>'Translate&amp;Prices&amp;Logo'!B555</f>
        <v>Vložený</v>
      </c>
      <c r="D19" s="316" t="str">
        <f t="shared" si="0"/>
        <v>úzký_HETTICH_Vložený</v>
      </c>
      <c r="E19" s="318" t="str">
        <f>'Translate&amp;Prices&amp;Logo'!$B$584</f>
        <v>tip-on bez pružiny/tlumení</v>
      </c>
      <c r="F19" s="318" t="str">
        <f>'Translate&amp;Prices&amp;Logo'!$B$585</f>
        <v>stříbrná</v>
      </c>
      <c r="G19" s="318" t="str">
        <f t="shared" si="1"/>
        <v>300287 - Vložený tip-on bez pružiny/tlumení - stříbrná</v>
      </c>
      <c r="H19" s="319">
        <v>300287</v>
      </c>
      <c r="I19" s="319" t="s">
        <v>2169</v>
      </c>
      <c r="J19" s="319" t="s">
        <v>2169</v>
      </c>
      <c r="K19" s="319">
        <v>106403</v>
      </c>
      <c r="L19" s="319" t="str">
        <f t="shared" si="2"/>
        <v>křížová vrut - 106403</v>
      </c>
      <c r="M19" s="319" t="s">
        <v>3382</v>
      </c>
      <c r="N19" s="319" t="str">
        <f t="shared" si="3"/>
        <v>křížová vrut (excentr) - N/A</v>
      </c>
      <c r="O19" s="319">
        <v>119240</v>
      </c>
      <c r="P19" s="319" t="str">
        <f t="shared" si="4"/>
        <v>křížová euro - 119240</v>
      </c>
      <c r="Q19" s="319">
        <v>136276</v>
      </c>
      <c r="R19" s="319" t="str">
        <f t="shared" si="5"/>
        <v>křížová hmoždinka - 136276</v>
      </c>
      <c r="S19" s="319">
        <v>300319</v>
      </c>
      <c r="T19" s="319" t="str">
        <f t="shared" si="6"/>
        <v>přímá vrut - 300319</v>
      </c>
      <c r="U19" s="319" t="s">
        <v>3382</v>
      </c>
      <c r="V19" s="319" t="str">
        <f t="shared" si="7"/>
        <v>přímá euro - N/A</v>
      </c>
      <c r="W19" s="319" t="s">
        <v>3382</v>
      </c>
      <c r="X19" s="319" t="str">
        <f t="shared" si="8"/>
        <v>přímá hmoždinka - N/A</v>
      </c>
      <c r="Y19" s="318"/>
      <c r="Z19" s="318"/>
    </row>
    <row r="20" spans="1:26" ht="16.350000000000001" customHeight="1">
      <c r="A20" s="323" t="s">
        <v>2167</v>
      </c>
      <c r="B20" s="323" t="s">
        <v>110</v>
      </c>
      <c r="C20" s="323" t="str">
        <f>'Translate&amp;Prices&amp;Logo'!B553</f>
        <v>Naložený</v>
      </c>
      <c r="D20" s="316" t="str">
        <f t="shared" si="0"/>
        <v>úzký_STRONG_Naložený</v>
      </c>
      <c r="E20" s="323" t="str">
        <f>'Translate&amp;Prices&amp;Logo'!$B$582</f>
        <v>s pružinou a tlumením</v>
      </c>
      <c r="F20" s="318" t="str">
        <f>'Translate&amp;Prices&amp;Logo'!$B$585</f>
        <v>stříbrná</v>
      </c>
      <c r="G20" s="318" t="str">
        <f>CONCATENATE(I20," ","-"," ",C20," ",E20," - ",F20)</f>
        <v>92584T - Naložený s pružinou a tlumením - stříbrná</v>
      </c>
      <c r="H20" s="319" t="s">
        <v>2169</v>
      </c>
      <c r="I20" s="319" t="s">
        <v>803</v>
      </c>
      <c r="J20" s="319" t="s">
        <v>2169</v>
      </c>
      <c r="K20" s="319" t="s">
        <v>113</v>
      </c>
      <c r="L20" s="319" t="str">
        <f t="shared" si="2"/>
        <v>křížová vrut - 92590T</v>
      </c>
      <c r="M20" s="319" t="s">
        <v>117</v>
      </c>
      <c r="N20" s="319" t="str">
        <f t="shared" si="3"/>
        <v>křížová vrut (excentr) - 92594T</v>
      </c>
      <c r="O20" s="319" t="s">
        <v>119</v>
      </c>
      <c r="P20" s="319" t="str">
        <f t="shared" si="4"/>
        <v>křížová euro - 92591T</v>
      </c>
      <c r="Q20" s="319" t="s">
        <v>3382</v>
      </c>
      <c r="R20" s="319" t="str">
        <f t="shared" si="5"/>
        <v>křížová hmoždinka - N/A</v>
      </c>
      <c r="S20" s="319" t="s">
        <v>3382</v>
      </c>
      <c r="T20" s="319" t="str">
        <f t="shared" si="6"/>
        <v>přímá vrut - N/A</v>
      </c>
      <c r="U20" s="319" t="s">
        <v>3382</v>
      </c>
      <c r="V20" s="319" t="str">
        <f t="shared" si="7"/>
        <v>přímá euro - N/A</v>
      </c>
      <c r="W20" s="319" t="s">
        <v>3382</v>
      </c>
      <c r="X20" s="319" t="str">
        <f t="shared" si="8"/>
        <v>přímá hmoždinka - N/A</v>
      </c>
      <c r="Y20" s="318"/>
      <c r="Z20" s="318"/>
    </row>
    <row r="21" spans="1:26" ht="16.350000000000001" customHeight="1">
      <c r="A21" s="318" t="s">
        <v>2167</v>
      </c>
      <c r="B21" s="318" t="s">
        <v>2171</v>
      </c>
      <c r="C21" s="318" t="str">
        <f>'Translate&amp;Prices&amp;Logo'!B553</f>
        <v>Naložený</v>
      </c>
      <c r="D21" s="316" t="e">
        <f t="shared" si="0"/>
        <v>#N/A</v>
      </c>
      <c r="E21" s="318" t="str">
        <f>'Translate&amp;Prices&amp;Logo'!$B$582</f>
        <v>s pružinou a tlumením</v>
      </c>
      <c r="F21" s="318" t="str">
        <f>'Translate&amp;Prices&amp;Logo'!$B$585</f>
        <v>stříbrná</v>
      </c>
      <c r="G21" s="318" t="str">
        <f t="shared" ref="G21:G64" si="9">CONCATENATE(I21," ","-"," ",C21," ",E21," - ",F21)</f>
        <v>350863 - Naložený s pružinou a tlumením - stříbrná</v>
      </c>
      <c r="H21" s="319" t="s">
        <v>2169</v>
      </c>
      <c r="I21" s="319">
        <v>350863</v>
      </c>
      <c r="J21" s="319" t="s">
        <v>2169</v>
      </c>
      <c r="K21" s="319">
        <v>92596</v>
      </c>
      <c r="L21" s="319" t="str">
        <f t="shared" si="2"/>
        <v>křížová vrut - 92596</v>
      </c>
      <c r="M21" s="319">
        <v>315856</v>
      </c>
      <c r="N21" s="319" t="str">
        <f t="shared" si="3"/>
        <v>křížová vrut (excentr) - 315856</v>
      </c>
      <c r="O21" s="319">
        <v>92597</v>
      </c>
      <c r="P21" s="319" t="str">
        <f t="shared" si="4"/>
        <v>křížová euro - 92597</v>
      </c>
      <c r="Q21" s="319" t="s">
        <v>3382</v>
      </c>
      <c r="R21" s="319" t="str">
        <f t="shared" si="5"/>
        <v>křížová hmoždinka - N/A</v>
      </c>
      <c r="S21" s="319" t="s">
        <v>3382</v>
      </c>
      <c r="T21" s="319" t="str">
        <f t="shared" si="6"/>
        <v>přímá vrut - N/A</v>
      </c>
      <c r="U21" s="319" t="s">
        <v>3382</v>
      </c>
      <c r="V21" s="319" t="str">
        <f t="shared" si="7"/>
        <v>přímá euro - N/A</v>
      </c>
      <c r="W21" s="319" t="s">
        <v>3382</v>
      </c>
      <c r="X21" s="319" t="str">
        <f t="shared" si="8"/>
        <v>přímá hmoždinka - N/A</v>
      </c>
      <c r="Y21" s="318"/>
      <c r="Z21" s="318"/>
    </row>
    <row r="22" spans="1:26" ht="16.350000000000001" customHeight="1">
      <c r="A22" s="318" t="s">
        <v>2167</v>
      </c>
      <c r="B22" s="318" t="s">
        <v>2171</v>
      </c>
      <c r="C22" s="318" t="str">
        <f>'Translate&amp;Prices&amp;Logo'!B553</f>
        <v>Naložený</v>
      </c>
      <c r="D22" s="316" t="e">
        <f t="shared" si="0"/>
        <v>#N/A</v>
      </c>
      <c r="E22" s="318" t="str">
        <f>'Translate&amp;Prices&amp;Logo'!$B$584</f>
        <v>tip-on bez pružiny/tlumení</v>
      </c>
      <c r="F22" s="318" t="str">
        <f>'Translate&amp;Prices&amp;Logo'!$B$585</f>
        <v>stříbrná</v>
      </c>
      <c r="G22" s="318" t="str">
        <f t="shared" si="9"/>
        <v>350864 - Naložený tip-on bez pružiny/tlumení - stříbrná</v>
      </c>
      <c r="H22" s="319" t="s">
        <v>2169</v>
      </c>
      <c r="I22" s="319">
        <v>350864</v>
      </c>
      <c r="J22" s="319" t="s">
        <v>2169</v>
      </c>
      <c r="K22" s="319">
        <v>92596</v>
      </c>
      <c r="L22" s="319" t="str">
        <f t="shared" si="2"/>
        <v>křížová vrut - 92596</v>
      </c>
      <c r="M22" s="319">
        <v>315856</v>
      </c>
      <c r="N22" s="319" t="str">
        <f t="shared" si="3"/>
        <v>křížová vrut (excentr) - 315856</v>
      </c>
      <c r="O22" s="319">
        <v>92597</v>
      </c>
      <c r="P22" s="319" t="str">
        <f t="shared" si="4"/>
        <v>křížová euro - 92597</v>
      </c>
      <c r="Q22" s="319" t="s">
        <v>3382</v>
      </c>
      <c r="R22" s="319" t="str">
        <f t="shared" si="5"/>
        <v>křížová hmoždinka - N/A</v>
      </c>
      <c r="S22" s="319" t="s">
        <v>3382</v>
      </c>
      <c r="T22" s="319" t="str">
        <f t="shared" si="6"/>
        <v>přímá vrut - N/A</v>
      </c>
      <c r="U22" s="319" t="s">
        <v>3382</v>
      </c>
      <c r="V22" s="319" t="str">
        <f t="shared" si="7"/>
        <v>přímá euro - N/A</v>
      </c>
      <c r="W22" s="319" t="s">
        <v>3382</v>
      </c>
      <c r="X22" s="319" t="str">
        <f t="shared" si="8"/>
        <v>přímá hmoždinka - N/A</v>
      </c>
      <c r="Y22" s="318"/>
      <c r="Z22" s="318"/>
    </row>
    <row r="23" spans="1:26" ht="16.350000000000001" customHeight="1">
      <c r="A23" s="323" t="s">
        <v>2172</v>
      </c>
      <c r="B23" s="323" t="s">
        <v>14</v>
      </c>
      <c r="C23" s="323" t="str">
        <f>'Translate&amp;Prices&amp;Logo'!B553</f>
        <v>Naložený</v>
      </c>
      <c r="D23" s="316" t="str">
        <f t="shared" si="0"/>
        <v>široký_BLUM_Naložený</v>
      </c>
      <c r="E23" s="323" t="str">
        <f>'Translate&amp;Prices&amp;Logo'!$B$582</f>
        <v>s pružinou a tlumením</v>
      </c>
      <c r="F23" s="318" t="str">
        <f>'Translate&amp;Prices&amp;Logo'!$B$585</f>
        <v>stříbrná</v>
      </c>
      <c r="G23" s="318" t="str">
        <f t="shared" si="9"/>
        <v>12047 - Naložený s pružinou a tlumením - stříbrná</v>
      </c>
      <c r="H23" s="319" t="s">
        <v>2169</v>
      </c>
      <c r="I23" s="319">
        <v>12047</v>
      </c>
      <c r="J23" s="319" t="s">
        <v>2169</v>
      </c>
      <c r="K23" s="319">
        <v>12306</v>
      </c>
      <c r="L23" s="319" t="str">
        <f t="shared" si="2"/>
        <v>křížová vrut - 12306</v>
      </c>
      <c r="M23" s="319" t="s">
        <v>3382</v>
      </c>
      <c r="N23" s="319" t="str">
        <f t="shared" si="3"/>
        <v>křížová vrut (excentr) - N/A</v>
      </c>
      <c r="O23" s="319">
        <v>12318</v>
      </c>
      <c r="P23" s="319" t="str">
        <f t="shared" si="4"/>
        <v>křížová euro - 12318</v>
      </c>
      <c r="Q23" s="319">
        <v>12302</v>
      </c>
      <c r="R23" s="319" t="str">
        <f t="shared" si="5"/>
        <v>křížová hmoždinka - 12302</v>
      </c>
      <c r="S23" s="319">
        <v>203387</v>
      </c>
      <c r="T23" s="319" t="str">
        <f t="shared" si="6"/>
        <v>přímá vrut - 203387</v>
      </c>
      <c r="U23" s="319">
        <v>346624</v>
      </c>
      <c r="V23" s="319" t="str">
        <f t="shared" si="7"/>
        <v>přímá euro - 346624</v>
      </c>
      <c r="W23" s="319">
        <v>211476</v>
      </c>
      <c r="X23" s="319" t="str">
        <f t="shared" si="8"/>
        <v>přímá hmoždinka - 211476</v>
      </c>
      <c r="Y23" s="318"/>
      <c r="Z23" s="318"/>
    </row>
    <row r="24" spans="1:26" ht="16.350000000000001" customHeight="1">
      <c r="A24" s="323" t="s">
        <v>2172</v>
      </c>
      <c r="B24" s="323" t="s">
        <v>14</v>
      </c>
      <c r="C24" s="323" t="str">
        <f>'Translate&amp;Prices&amp;Logo'!B553</f>
        <v>Naložený</v>
      </c>
      <c r="D24" s="316" t="str">
        <f t="shared" si="0"/>
        <v>široký_BLUM_Naložený</v>
      </c>
      <c r="E24" s="323" t="str">
        <f>'Translate&amp;Prices&amp;Logo'!$B$582</f>
        <v>s pružinou a tlumením</v>
      </c>
      <c r="F24" s="318" t="str">
        <f>'Translate&amp;Prices&amp;Logo'!$B$586</f>
        <v>černá</v>
      </c>
      <c r="G24" s="318" t="str">
        <f t="shared" si="9"/>
        <v>306317 - Naložený s pružinou a tlumením - černá</v>
      </c>
      <c r="H24" s="319" t="s">
        <v>2169</v>
      </c>
      <c r="I24" s="319">
        <v>306317</v>
      </c>
      <c r="J24" s="319" t="s">
        <v>2169</v>
      </c>
      <c r="K24" s="319">
        <v>458360</v>
      </c>
      <c r="L24" s="319" t="str">
        <f t="shared" si="2"/>
        <v>křížová vrut - 458360</v>
      </c>
      <c r="M24" s="319" t="s">
        <v>3382</v>
      </c>
      <c r="N24" s="319" t="str">
        <f t="shared" si="3"/>
        <v>křížová vrut (excentr) - N/A</v>
      </c>
      <c r="O24" s="319" t="s">
        <v>3382</v>
      </c>
      <c r="P24" s="319" t="str">
        <f t="shared" si="4"/>
        <v>křížová euro - N/A</v>
      </c>
      <c r="Q24" s="319">
        <v>347124</v>
      </c>
      <c r="R24" s="319" t="str">
        <f t="shared" si="5"/>
        <v>křížová hmoždinka - 347124</v>
      </c>
      <c r="S24" s="319">
        <v>306320</v>
      </c>
      <c r="T24" s="319" t="str">
        <f t="shared" si="6"/>
        <v>přímá vrut - 306320</v>
      </c>
      <c r="U24" s="319" t="s">
        <v>3382</v>
      </c>
      <c r="V24" s="319" t="str">
        <f t="shared" si="7"/>
        <v>přímá euro - N/A</v>
      </c>
      <c r="W24" s="319">
        <v>409651</v>
      </c>
      <c r="X24" s="319" t="str">
        <f t="shared" si="8"/>
        <v>přímá hmoždinka - 409651</v>
      </c>
      <c r="Y24" s="318"/>
      <c r="Z24" s="318"/>
    </row>
    <row r="25" spans="1:26" ht="16.350000000000001" customHeight="1">
      <c r="A25" s="323" t="s">
        <v>2172</v>
      </c>
      <c r="B25" s="323" t="s">
        <v>14</v>
      </c>
      <c r="C25" s="323" t="str">
        <f>'Translate&amp;Prices&amp;Logo'!B553</f>
        <v>Naložený</v>
      </c>
      <c r="D25" s="316" t="str">
        <f t="shared" si="0"/>
        <v>široký_BLUM_Naložený</v>
      </c>
      <c r="E25" s="323" t="str">
        <f>'Translate&amp;Prices&amp;Logo'!$B$583</f>
        <v>s pružinou bez tlumení</v>
      </c>
      <c r="F25" s="318" t="str">
        <f>'Translate&amp;Prices&amp;Logo'!$B$585</f>
        <v>stříbrná</v>
      </c>
      <c r="G25" s="318" t="str">
        <f t="shared" si="9"/>
        <v>12052 - Naložený s pružinou bez tlumení - stříbrná</v>
      </c>
      <c r="H25" s="319" t="s">
        <v>2169</v>
      </c>
      <c r="I25" s="319">
        <v>12052</v>
      </c>
      <c r="J25" s="319" t="s">
        <v>2169</v>
      </c>
      <c r="K25" s="319">
        <v>12306</v>
      </c>
      <c r="L25" s="319" t="str">
        <f t="shared" si="2"/>
        <v>křížová vrut - 12306</v>
      </c>
      <c r="M25" s="319" t="s">
        <v>3382</v>
      </c>
      <c r="N25" s="319" t="str">
        <f t="shared" si="3"/>
        <v>křížová vrut (excentr) - N/A</v>
      </c>
      <c r="O25" s="319">
        <v>12318</v>
      </c>
      <c r="P25" s="319" t="str">
        <f t="shared" si="4"/>
        <v>křížová euro - 12318</v>
      </c>
      <c r="Q25" s="319">
        <v>12302</v>
      </c>
      <c r="R25" s="319" t="str">
        <f t="shared" si="5"/>
        <v>křížová hmoždinka - 12302</v>
      </c>
      <c r="S25" s="319">
        <v>203387</v>
      </c>
      <c r="T25" s="319" t="str">
        <f t="shared" si="6"/>
        <v>přímá vrut - 203387</v>
      </c>
      <c r="U25" s="319">
        <v>346624</v>
      </c>
      <c r="V25" s="319" t="str">
        <f t="shared" si="7"/>
        <v>přímá euro - 346624</v>
      </c>
      <c r="W25" s="319">
        <v>211476</v>
      </c>
      <c r="X25" s="319" t="str">
        <f t="shared" si="8"/>
        <v>přímá hmoždinka - 211476</v>
      </c>
      <c r="Y25" s="318"/>
      <c r="Z25" s="318"/>
    </row>
    <row r="26" spans="1:26" ht="16.350000000000001" customHeight="1">
      <c r="A26" s="323" t="s">
        <v>2172</v>
      </c>
      <c r="B26" s="323" t="s">
        <v>14</v>
      </c>
      <c r="C26" s="323" t="str">
        <f>'Translate&amp;Prices&amp;Logo'!B553</f>
        <v>Naložený</v>
      </c>
      <c r="D26" s="316" t="str">
        <f t="shared" si="0"/>
        <v>široký_BLUM_Naložený</v>
      </c>
      <c r="E26" s="323" t="str">
        <f>'Translate&amp;Prices&amp;Logo'!$B$584</f>
        <v>tip-on bez pružiny/tlumení</v>
      </c>
      <c r="F26" s="318" t="str">
        <f>'Translate&amp;Prices&amp;Logo'!$B$585</f>
        <v>stříbrná</v>
      </c>
      <c r="G26" s="318" t="str">
        <f t="shared" si="9"/>
        <v>226668 - Naložený tip-on bez pružiny/tlumení - stříbrná</v>
      </c>
      <c r="H26" s="319" t="s">
        <v>2169</v>
      </c>
      <c r="I26" s="319">
        <v>226668</v>
      </c>
      <c r="J26" s="319" t="s">
        <v>2169</v>
      </c>
      <c r="K26" s="319">
        <v>12306</v>
      </c>
      <c r="L26" s="319" t="str">
        <f t="shared" si="2"/>
        <v>křížová vrut - 12306</v>
      </c>
      <c r="M26" s="319" t="s">
        <v>3382</v>
      </c>
      <c r="N26" s="319" t="str">
        <f t="shared" si="3"/>
        <v>křížová vrut (excentr) - N/A</v>
      </c>
      <c r="O26" s="319">
        <v>12318</v>
      </c>
      <c r="P26" s="319" t="str">
        <f t="shared" si="4"/>
        <v>křížová euro - 12318</v>
      </c>
      <c r="Q26" s="319">
        <v>12302</v>
      </c>
      <c r="R26" s="319" t="str">
        <f t="shared" si="5"/>
        <v>křížová hmoždinka - 12302</v>
      </c>
      <c r="S26" s="319">
        <v>203387</v>
      </c>
      <c r="T26" s="319" t="str">
        <f t="shared" si="6"/>
        <v>přímá vrut - 203387</v>
      </c>
      <c r="U26" s="319">
        <v>346624</v>
      </c>
      <c r="V26" s="319" t="str">
        <f t="shared" si="7"/>
        <v>přímá euro - 346624</v>
      </c>
      <c r="W26" s="319">
        <v>211476</v>
      </c>
      <c r="X26" s="319" t="str">
        <f t="shared" si="8"/>
        <v>přímá hmoždinka - 211476</v>
      </c>
      <c r="Y26" s="318"/>
      <c r="Z26" s="318"/>
    </row>
    <row r="27" spans="1:26" ht="16.350000000000001" customHeight="1">
      <c r="A27" s="318" t="s">
        <v>2172</v>
      </c>
      <c r="B27" s="318" t="s">
        <v>14</v>
      </c>
      <c r="C27" s="318" t="str">
        <f>'Translate&amp;Prices&amp;Logo'!B554</f>
        <v>Polonaložený</v>
      </c>
      <c r="D27" s="316" t="str">
        <f t="shared" si="0"/>
        <v>široký_BLUM_Polonaložený</v>
      </c>
      <c r="E27" s="318" t="str">
        <f>'Translate&amp;Prices&amp;Logo'!$B$582</f>
        <v>s pružinou a tlumením</v>
      </c>
      <c r="F27" s="318" t="str">
        <f>'Translate&amp;Prices&amp;Logo'!$B$585</f>
        <v>stříbrná</v>
      </c>
      <c r="G27" s="318" t="str">
        <f t="shared" si="9"/>
        <v>12048 - Polonaložený s pružinou a tlumením - stříbrná</v>
      </c>
      <c r="H27" s="319" t="s">
        <v>2169</v>
      </c>
      <c r="I27" s="319">
        <v>12048</v>
      </c>
      <c r="J27" s="319" t="s">
        <v>2169</v>
      </c>
      <c r="K27" s="319">
        <v>12306</v>
      </c>
      <c r="L27" s="319" t="str">
        <f t="shared" si="2"/>
        <v>křížová vrut - 12306</v>
      </c>
      <c r="M27" s="319" t="s">
        <v>3382</v>
      </c>
      <c r="N27" s="319" t="str">
        <f t="shared" si="3"/>
        <v>křížová vrut (excentr) - N/A</v>
      </c>
      <c r="O27" s="319">
        <v>12318</v>
      </c>
      <c r="P27" s="319" t="str">
        <f t="shared" si="4"/>
        <v>křížová euro - 12318</v>
      </c>
      <c r="Q27" s="319">
        <v>12302</v>
      </c>
      <c r="R27" s="319" t="str">
        <f t="shared" si="5"/>
        <v>křížová hmoždinka - 12302</v>
      </c>
      <c r="S27" s="319">
        <v>203387</v>
      </c>
      <c r="T27" s="319" t="str">
        <f t="shared" si="6"/>
        <v>přímá vrut - 203387</v>
      </c>
      <c r="U27" s="319">
        <v>346624</v>
      </c>
      <c r="V27" s="319" t="str">
        <f t="shared" si="7"/>
        <v>přímá euro - 346624</v>
      </c>
      <c r="W27" s="319">
        <v>211476</v>
      </c>
      <c r="X27" s="319" t="str">
        <f t="shared" si="8"/>
        <v>přímá hmoždinka - 211476</v>
      </c>
      <c r="Y27" s="318"/>
      <c r="Z27" s="318"/>
    </row>
    <row r="28" spans="1:26" ht="16.350000000000001" customHeight="1">
      <c r="A28" s="318" t="s">
        <v>2172</v>
      </c>
      <c r="B28" s="318" t="s">
        <v>14</v>
      </c>
      <c r="C28" s="318" t="str">
        <f>'Translate&amp;Prices&amp;Logo'!B554</f>
        <v>Polonaložený</v>
      </c>
      <c r="D28" s="316" t="str">
        <f t="shared" si="0"/>
        <v>široký_BLUM_Polonaložený</v>
      </c>
      <c r="E28" s="318" t="str">
        <f>'Translate&amp;Prices&amp;Logo'!$B$582</f>
        <v>s pružinou a tlumením</v>
      </c>
      <c r="F28" s="318" t="str">
        <f>'Translate&amp;Prices&amp;Logo'!$B$586</f>
        <v>černá</v>
      </c>
      <c r="G28" s="318" t="str">
        <f t="shared" si="9"/>
        <v>306318 - Polonaložený s pružinou a tlumením - černá</v>
      </c>
      <c r="H28" s="319" t="s">
        <v>2169</v>
      </c>
      <c r="I28" s="319">
        <v>306318</v>
      </c>
      <c r="J28" s="319" t="s">
        <v>2169</v>
      </c>
      <c r="K28" s="319">
        <v>458360</v>
      </c>
      <c r="L28" s="319" t="str">
        <f t="shared" si="2"/>
        <v>křížová vrut - 458360</v>
      </c>
      <c r="M28" s="319" t="s">
        <v>3382</v>
      </c>
      <c r="N28" s="319" t="str">
        <f t="shared" si="3"/>
        <v>křížová vrut (excentr) - N/A</v>
      </c>
      <c r="O28" s="319" t="s">
        <v>3382</v>
      </c>
      <c r="P28" s="319" t="str">
        <f t="shared" si="4"/>
        <v>křížová euro - N/A</v>
      </c>
      <c r="Q28" s="319">
        <v>347124</v>
      </c>
      <c r="R28" s="319" t="str">
        <f t="shared" si="5"/>
        <v>křížová hmoždinka - 347124</v>
      </c>
      <c r="S28" s="319">
        <v>306320</v>
      </c>
      <c r="T28" s="319" t="str">
        <f t="shared" si="6"/>
        <v>přímá vrut - 306320</v>
      </c>
      <c r="U28" s="319" t="s">
        <v>3382</v>
      </c>
      <c r="V28" s="319" t="str">
        <f t="shared" si="7"/>
        <v>přímá euro - N/A</v>
      </c>
      <c r="W28" s="319">
        <v>409651</v>
      </c>
      <c r="X28" s="319" t="str">
        <f t="shared" si="8"/>
        <v>přímá hmoždinka - 409651</v>
      </c>
      <c r="Y28" s="318"/>
      <c r="Z28" s="318"/>
    </row>
    <row r="29" spans="1:26" ht="16.350000000000001" customHeight="1">
      <c r="A29" s="318" t="s">
        <v>2172</v>
      </c>
      <c r="B29" s="318" t="s">
        <v>14</v>
      </c>
      <c r="C29" s="318" t="str">
        <f>'Translate&amp;Prices&amp;Logo'!B554</f>
        <v>Polonaložený</v>
      </c>
      <c r="D29" s="316" t="str">
        <f t="shared" si="0"/>
        <v>široký_BLUM_Polonaložený</v>
      </c>
      <c r="E29" s="318" t="str">
        <f>'Translate&amp;Prices&amp;Logo'!$B$583</f>
        <v>s pružinou bez tlumení</v>
      </c>
      <c r="F29" s="318" t="str">
        <f>'Translate&amp;Prices&amp;Logo'!$B$585</f>
        <v>stříbrná</v>
      </c>
      <c r="G29" s="318" t="str">
        <f t="shared" si="9"/>
        <v>12053 - Polonaložený s pružinou bez tlumení - stříbrná</v>
      </c>
      <c r="H29" s="319" t="s">
        <v>2169</v>
      </c>
      <c r="I29" s="319">
        <v>12053</v>
      </c>
      <c r="J29" s="319" t="s">
        <v>2169</v>
      </c>
      <c r="K29" s="319">
        <v>12306</v>
      </c>
      <c r="L29" s="319" t="str">
        <f t="shared" si="2"/>
        <v>křížová vrut - 12306</v>
      </c>
      <c r="M29" s="319" t="s">
        <v>3382</v>
      </c>
      <c r="N29" s="319" t="str">
        <f t="shared" si="3"/>
        <v>křížová vrut (excentr) - N/A</v>
      </c>
      <c r="O29" s="319">
        <v>12318</v>
      </c>
      <c r="P29" s="319" t="str">
        <f t="shared" si="4"/>
        <v>křížová euro - 12318</v>
      </c>
      <c r="Q29" s="319">
        <v>12302</v>
      </c>
      <c r="R29" s="319" t="str">
        <f t="shared" si="5"/>
        <v>křížová hmoždinka - 12302</v>
      </c>
      <c r="S29" s="319">
        <v>203387</v>
      </c>
      <c r="T29" s="319" t="str">
        <f t="shared" si="6"/>
        <v>přímá vrut - 203387</v>
      </c>
      <c r="U29" s="319">
        <v>346624</v>
      </c>
      <c r="V29" s="319" t="str">
        <f t="shared" si="7"/>
        <v>přímá euro - 346624</v>
      </c>
      <c r="W29" s="319">
        <v>211476</v>
      </c>
      <c r="X29" s="319" t="str">
        <f t="shared" si="8"/>
        <v>přímá hmoždinka - 211476</v>
      </c>
      <c r="Y29" s="318"/>
      <c r="Z29" s="318"/>
    </row>
    <row r="30" spans="1:26" ht="16.350000000000001" customHeight="1">
      <c r="A30" s="318" t="s">
        <v>2172</v>
      </c>
      <c r="B30" s="318" t="s">
        <v>14</v>
      </c>
      <c r="C30" s="318" t="str">
        <f>'Translate&amp;Prices&amp;Logo'!B554</f>
        <v>Polonaložený</v>
      </c>
      <c r="D30" s="316" t="str">
        <f t="shared" si="0"/>
        <v>široký_BLUM_Polonaložený</v>
      </c>
      <c r="E30" s="318" t="str">
        <f>'Translate&amp;Prices&amp;Logo'!$B$584</f>
        <v>tip-on bez pružiny/tlumení</v>
      </c>
      <c r="F30" s="318" t="str">
        <f>'Translate&amp;Prices&amp;Logo'!$B$585</f>
        <v>stříbrná</v>
      </c>
      <c r="G30" s="318" t="str">
        <f t="shared" si="9"/>
        <v>226670 - Polonaložený tip-on bez pružiny/tlumení - stříbrná</v>
      </c>
      <c r="H30" s="319" t="s">
        <v>2169</v>
      </c>
      <c r="I30" s="319">
        <v>226670</v>
      </c>
      <c r="J30" s="319" t="s">
        <v>2169</v>
      </c>
      <c r="K30" s="319">
        <v>12306</v>
      </c>
      <c r="L30" s="319" t="str">
        <f t="shared" si="2"/>
        <v>křížová vrut - 12306</v>
      </c>
      <c r="M30" s="319" t="s">
        <v>3382</v>
      </c>
      <c r="N30" s="319" t="str">
        <f t="shared" si="3"/>
        <v>křížová vrut (excentr) - N/A</v>
      </c>
      <c r="O30" s="319">
        <v>12318</v>
      </c>
      <c r="P30" s="319" t="str">
        <f t="shared" si="4"/>
        <v>křížová euro - 12318</v>
      </c>
      <c r="Q30" s="319">
        <v>12302</v>
      </c>
      <c r="R30" s="319" t="str">
        <f t="shared" si="5"/>
        <v>křížová hmoždinka - 12302</v>
      </c>
      <c r="S30" s="319">
        <v>203387</v>
      </c>
      <c r="T30" s="319" t="str">
        <f t="shared" si="6"/>
        <v>přímá vrut - 203387</v>
      </c>
      <c r="U30" s="319">
        <v>346624</v>
      </c>
      <c r="V30" s="319" t="str">
        <f t="shared" si="7"/>
        <v>přímá euro - 346624</v>
      </c>
      <c r="W30" s="319">
        <v>211476</v>
      </c>
      <c r="X30" s="319" t="str">
        <f t="shared" si="8"/>
        <v>přímá hmoždinka - 211476</v>
      </c>
      <c r="Y30" s="318"/>
      <c r="Z30" s="318"/>
    </row>
    <row r="31" spans="1:26" ht="16.350000000000001" customHeight="1">
      <c r="A31" s="323" t="s">
        <v>2172</v>
      </c>
      <c r="B31" s="323" t="s">
        <v>14</v>
      </c>
      <c r="C31" s="323" t="str">
        <f>'Translate&amp;Prices&amp;Logo'!B555</f>
        <v>Vložený</v>
      </c>
      <c r="D31" s="316" t="str">
        <f t="shared" si="0"/>
        <v>široký_BLUM_Vložený</v>
      </c>
      <c r="E31" s="323" t="str">
        <f>'Translate&amp;Prices&amp;Logo'!$B$582</f>
        <v>s pružinou a tlumením</v>
      </c>
      <c r="F31" s="318" t="str">
        <f>'Translate&amp;Prices&amp;Logo'!$B$585</f>
        <v>stříbrná</v>
      </c>
      <c r="G31" s="318" t="str">
        <f t="shared" si="9"/>
        <v>12049 - Vložený s pružinou a tlumením - stříbrná</v>
      </c>
      <c r="H31" s="319" t="s">
        <v>2169</v>
      </c>
      <c r="I31" s="319">
        <v>12049</v>
      </c>
      <c r="J31" s="319" t="s">
        <v>2169</v>
      </c>
      <c r="K31" s="319">
        <v>12306</v>
      </c>
      <c r="L31" s="319" t="str">
        <f t="shared" si="2"/>
        <v>křížová vrut - 12306</v>
      </c>
      <c r="M31" s="319" t="s">
        <v>3382</v>
      </c>
      <c r="N31" s="319" t="str">
        <f t="shared" si="3"/>
        <v>křížová vrut (excentr) - N/A</v>
      </c>
      <c r="O31" s="319">
        <v>12318</v>
      </c>
      <c r="P31" s="319" t="str">
        <f t="shared" si="4"/>
        <v>křížová euro - 12318</v>
      </c>
      <c r="Q31" s="319">
        <v>12302</v>
      </c>
      <c r="R31" s="319" t="str">
        <f t="shared" si="5"/>
        <v>křížová hmoždinka - 12302</v>
      </c>
      <c r="S31" s="319">
        <v>203387</v>
      </c>
      <c r="T31" s="319" t="str">
        <f t="shared" si="6"/>
        <v>přímá vrut - 203387</v>
      </c>
      <c r="U31" s="319">
        <v>346624</v>
      </c>
      <c r="V31" s="319" t="str">
        <f t="shared" si="7"/>
        <v>přímá euro - 346624</v>
      </c>
      <c r="W31" s="319">
        <v>211476</v>
      </c>
      <c r="X31" s="319" t="str">
        <f t="shared" si="8"/>
        <v>přímá hmoždinka - 211476</v>
      </c>
      <c r="Y31" s="318"/>
      <c r="Z31" s="318"/>
    </row>
    <row r="32" spans="1:26" ht="16.350000000000001" customHeight="1">
      <c r="A32" s="323" t="s">
        <v>2172</v>
      </c>
      <c r="B32" s="323" t="s">
        <v>14</v>
      </c>
      <c r="C32" s="323" t="str">
        <f>'Translate&amp;Prices&amp;Logo'!B555</f>
        <v>Vložený</v>
      </c>
      <c r="D32" s="316" t="str">
        <f t="shared" si="0"/>
        <v>široký_BLUM_Vložený</v>
      </c>
      <c r="E32" s="323" t="str">
        <f>'Translate&amp;Prices&amp;Logo'!$B$582</f>
        <v>s pružinou a tlumením</v>
      </c>
      <c r="F32" s="318" t="str">
        <f>'Translate&amp;Prices&amp;Logo'!$B$586</f>
        <v>černá</v>
      </c>
      <c r="G32" s="318" t="str">
        <f t="shared" si="9"/>
        <v>306319 - Vložený s pružinou a tlumením - černá</v>
      </c>
      <c r="H32" s="319" t="s">
        <v>2169</v>
      </c>
      <c r="I32" s="319">
        <v>306319</v>
      </c>
      <c r="J32" s="319" t="s">
        <v>2169</v>
      </c>
      <c r="K32" s="319">
        <v>458360</v>
      </c>
      <c r="L32" s="319" t="str">
        <f t="shared" si="2"/>
        <v>křížová vrut - 458360</v>
      </c>
      <c r="M32" s="319" t="s">
        <v>3382</v>
      </c>
      <c r="N32" s="319" t="str">
        <f t="shared" si="3"/>
        <v>křížová vrut (excentr) - N/A</v>
      </c>
      <c r="O32" s="319" t="s">
        <v>3382</v>
      </c>
      <c r="P32" s="319" t="str">
        <f t="shared" si="4"/>
        <v>křížová euro - N/A</v>
      </c>
      <c r="Q32" s="319">
        <v>347124</v>
      </c>
      <c r="R32" s="319" t="str">
        <f t="shared" si="5"/>
        <v>křížová hmoždinka - 347124</v>
      </c>
      <c r="S32" s="319">
        <v>306320</v>
      </c>
      <c r="T32" s="319" t="str">
        <f t="shared" si="6"/>
        <v>přímá vrut - 306320</v>
      </c>
      <c r="U32" s="319" t="s">
        <v>3382</v>
      </c>
      <c r="V32" s="319" t="str">
        <f t="shared" si="7"/>
        <v>přímá euro - N/A</v>
      </c>
      <c r="W32" s="319">
        <v>409651</v>
      </c>
      <c r="X32" s="319" t="str">
        <f t="shared" si="8"/>
        <v>přímá hmoždinka - 409651</v>
      </c>
      <c r="Y32" s="318"/>
      <c r="Z32" s="318"/>
    </row>
    <row r="33" spans="1:26" ht="16.350000000000001" customHeight="1">
      <c r="A33" s="323" t="s">
        <v>2172</v>
      </c>
      <c r="B33" s="323" t="s">
        <v>14</v>
      </c>
      <c r="C33" s="323" t="str">
        <f>'Translate&amp;Prices&amp;Logo'!B555</f>
        <v>Vložený</v>
      </c>
      <c r="D33" s="316" t="str">
        <f t="shared" si="0"/>
        <v>široký_BLUM_Vložený</v>
      </c>
      <c r="E33" s="323" t="str">
        <f>'Translate&amp;Prices&amp;Logo'!$B$583</f>
        <v>s pružinou bez tlumení</v>
      </c>
      <c r="F33" s="318" t="str">
        <f>'Translate&amp;Prices&amp;Logo'!$B$585</f>
        <v>stříbrná</v>
      </c>
      <c r="G33" s="318" t="str">
        <f t="shared" si="9"/>
        <v>12059 - Vložený s pružinou bez tlumení - stříbrná</v>
      </c>
      <c r="H33" s="319" t="s">
        <v>2169</v>
      </c>
      <c r="I33" s="319">
        <v>12059</v>
      </c>
      <c r="J33" s="319" t="s">
        <v>2169</v>
      </c>
      <c r="K33" s="319">
        <v>12306</v>
      </c>
      <c r="L33" s="319" t="str">
        <f t="shared" si="2"/>
        <v>křížová vrut - 12306</v>
      </c>
      <c r="M33" s="319" t="s">
        <v>3382</v>
      </c>
      <c r="N33" s="319" t="str">
        <f t="shared" si="3"/>
        <v>křížová vrut (excentr) - N/A</v>
      </c>
      <c r="O33" s="319">
        <v>12318</v>
      </c>
      <c r="P33" s="319" t="str">
        <f t="shared" si="4"/>
        <v>křížová euro - 12318</v>
      </c>
      <c r="Q33" s="319">
        <v>12302</v>
      </c>
      <c r="R33" s="319" t="str">
        <f t="shared" si="5"/>
        <v>křížová hmoždinka - 12302</v>
      </c>
      <c r="S33" s="319">
        <v>203387</v>
      </c>
      <c r="T33" s="319" t="str">
        <f t="shared" si="6"/>
        <v>přímá vrut - 203387</v>
      </c>
      <c r="U33" s="319">
        <v>346624</v>
      </c>
      <c r="V33" s="319" t="str">
        <f t="shared" si="7"/>
        <v>přímá euro - 346624</v>
      </c>
      <c r="W33" s="319">
        <v>211476</v>
      </c>
      <c r="X33" s="319" t="str">
        <f t="shared" si="8"/>
        <v>přímá hmoždinka - 211476</v>
      </c>
      <c r="Y33" s="318"/>
      <c r="Z33" s="318"/>
    </row>
    <row r="34" spans="1:26" ht="16.350000000000001" customHeight="1">
      <c r="A34" s="323" t="s">
        <v>2172</v>
      </c>
      <c r="B34" s="323" t="s">
        <v>14</v>
      </c>
      <c r="C34" s="323" t="str">
        <f>'Translate&amp;Prices&amp;Logo'!B555</f>
        <v>Vložený</v>
      </c>
      <c r="D34" s="316" t="str">
        <f t="shared" si="0"/>
        <v>široký_BLUM_Vložený</v>
      </c>
      <c r="E34" s="323" t="str">
        <f>'Translate&amp;Prices&amp;Logo'!$B$584</f>
        <v>tip-on bez pružiny/tlumení</v>
      </c>
      <c r="F34" s="318" t="str">
        <f>'Translate&amp;Prices&amp;Logo'!$B$585</f>
        <v>stříbrná</v>
      </c>
      <c r="G34" s="318" t="str">
        <f t="shared" si="9"/>
        <v>226671 - Vložený tip-on bez pružiny/tlumení - stříbrná</v>
      </c>
      <c r="H34" s="319" t="s">
        <v>2169</v>
      </c>
      <c r="I34" s="319">
        <v>226671</v>
      </c>
      <c r="J34" s="319" t="s">
        <v>2169</v>
      </c>
      <c r="K34" s="319">
        <v>12306</v>
      </c>
      <c r="L34" s="319" t="str">
        <f t="shared" si="2"/>
        <v>křížová vrut - 12306</v>
      </c>
      <c r="M34" s="319" t="s">
        <v>3382</v>
      </c>
      <c r="N34" s="319" t="str">
        <f t="shared" si="3"/>
        <v>křížová vrut (excentr) - N/A</v>
      </c>
      <c r="O34" s="319">
        <v>12318</v>
      </c>
      <c r="P34" s="319" t="str">
        <f t="shared" si="4"/>
        <v>křížová euro - 12318</v>
      </c>
      <c r="Q34" s="319">
        <v>12302</v>
      </c>
      <c r="R34" s="319" t="str">
        <f t="shared" si="5"/>
        <v>křížová hmoždinka - 12302</v>
      </c>
      <c r="S34" s="319">
        <v>203387</v>
      </c>
      <c r="T34" s="319" t="str">
        <f t="shared" si="6"/>
        <v>přímá vrut - 203387</v>
      </c>
      <c r="U34" s="319">
        <v>346624</v>
      </c>
      <c r="V34" s="319" t="str">
        <f t="shared" si="7"/>
        <v>přímá euro - 346624</v>
      </c>
      <c r="W34" s="319">
        <v>211476</v>
      </c>
      <c r="X34" s="319" t="str">
        <f t="shared" si="8"/>
        <v>přímá hmoždinka - 211476</v>
      </c>
      <c r="Y34" s="318"/>
      <c r="Z34" s="318"/>
    </row>
    <row r="35" spans="1:26" ht="16.350000000000001" customHeight="1">
      <c r="A35" s="318" t="s">
        <v>2172</v>
      </c>
      <c r="B35" s="318" t="s">
        <v>1026</v>
      </c>
      <c r="C35" s="318" t="str">
        <f>'Translate&amp;Prices&amp;Logo'!B553</f>
        <v>Naložený</v>
      </c>
      <c r="D35" s="316" t="str">
        <f t="shared" si="0"/>
        <v>široký_HETTICH_Naložený</v>
      </c>
      <c r="E35" s="318" t="str">
        <f>'Translate&amp;Prices&amp;Logo'!$B$582</f>
        <v>s pružinou a tlumením</v>
      </c>
      <c r="F35" s="318" t="str">
        <f>'Translate&amp;Prices&amp;Logo'!$B$585</f>
        <v>stříbrná</v>
      </c>
      <c r="G35" s="318" t="str">
        <f t="shared" si="9"/>
        <v>104717 - Naložený s pružinou a tlumením - stříbrná</v>
      </c>
      <c r="H35" s="319" t="s">
        <v>2169</v>
      </c>
      <c r="I35" s="319">
        <v>104717</v>
      </c>
      <c r="J35" s="319" t="s">
        <v>2169</v>
      </c>
      <c r="K35" s="319">
        <v>106403</v>
      </c>
      <c r="L35" s="319" t="str">
        <f t="shared" si="2"/>
        <v>křížová vrut - 106403</v>
      </c>
      <c r="M35" s="319" t="s">
        <v>3382</v>
      </c>
      <c r="N35" s="319" t="str">
        <f t="shared" si="3"/>
        <v>křížová vrut (excentr) - N/A</v>
      </c>
      <c r="O35" s="319">
        <v>119240</v>
      </c>
      <c r="P35" s="319" t="str">
        <f t="shared" si="4"/>
        <v>křížová euro - 119240</v>
      </c>
      <c r="Q35" s="319">
        <v>136276</v>
      </c>
      <c r="R35" s="319" t="str">
        <f t="shared" si="5"/>
        <v>křížová hmoždinka - 136276</v>
      </c>
      <c r="S35" s="319">
        <v>300319</v>
      </c>
      <c r="T35" s="319" t="str">
        <f t="shared" si="6"/>
        <v>přímá vrut - 300319</v>
      </c>
      <c r="U35" s="319" t="s">
        <v>3382</v>
      </c>
      <c r="V35" s="319" t="str">
        <f t="shared" si="7"/>
        <v>přímá euro - N/A</v>
      </c>
      <c r="W35" s="319" t="s">
        <v>3382</v>
      </c>
      <c r="X35" s="319" t="str">
        <f t="shared" si="8"/>
        <v>přímá hmoždinka - N/A</v>
      </c>
      <c r="Y35" s="318"/>
      <c r="Z35" s="318"/>
    </row>
    <row r="36" spans="1:26" ht="16.350000000000001" customHeight="1">
      <c r="A36" s="318" t="s">
        <v>2172</v>
      </c>
      <c r="B36" s="318" t="s">
        <v>1026</v>
      </c>
      <c r="C36" s="318" t="str">
        <f>'Translate&amp;Prices&amp;Logo'!B553</f>
        <v>Naložený</v>
      </c>
      <c r="D36" s="316" t="str">
        <f t="shared" si="0"/>
        <v>široký_HETTICH_Naložený</v>
      </c>
      <c r="E36" s="318" t="str">
        <f>'Translate&amp;Prices&amp;Logo'!$B$582</f>
        <v>s pružinou a tlumením</v>
      </c>
      <c r="F36" s="318" t="str">
        <f>'Translate&amp;Prices&amp;Logo'!$B$586</f>
        <v>černá</v>
      </c>
      <c r="G36" s="318" t="str">
        <f t="shared" si="9"/>
        <v>344691 - Naložený s pružinou a tlumením - černá</v>
      </c>
      <c r="H36" s="319" t="s">
        <v>2169</v>
      </c>
      <c r="I36" s="319">
        <v>344691</v>
      </c>
      <c r="J36" s="319" t="s">
        <v>2169</v>
      </c>
      <c r="K36" s="319" t="s">
        <v>3382</v>
      </c>
      <c r="L36" s="319" t="str">
        <f t="shared" si="2"/>
        <v>křížová vrut - N/A</v>
      </c>
      <c r="M36" s="319" t="s">
        <v>3382</v>
      </c>
      <c r="N36" s="319" t="str">
        <f t="shared" si="3"/>
        <v>křížová vrut (excentr) - N/A</v>
      </c>
      <c r="O36" s="319">
        <v>344723</v>
      </c>
      <c r="P36" s="319" t="str">
        <f t="shared" si="4"/>
        <v>křížová euro - 344723</v>
      </c>
      <c r="Q36" s="319">
        <v>344727</v>
      </c>
      <c r="R36" s="319" t="str">
        <f t="shared" si="5"/>
        <v>křížová hmoždinka - 344727</v>
      </c>
      <c r="S36" s="319">
        <v>397949</v>
      </c>
      <c r="T36" s="319" t="str">
        <f t="shared" si="6"/>
        <v>přímá vrut - 397949</v>
      </c>
      <c r="U36" s="319" t="s">
        <v>3382</v>
      </c>
      <c r="V36" s="319" t="str">
        <f t="shared" si="7"/>
        <v>přímá euro - N/A</v>
      </c>
      <c r="W36" s="319" t="s">
        <v>3382</v>
      </c>
      <c r="X36" s="319" t="str">
        <f t="shared" si="8"/>
        <v>přímá hmoždinka - N/A</v>
      </c>
      <c r="Y36" s="318"/>
      <c r="Z36" s="318"/>
    </row>
    <row r="37" spans="1:26" ht="16.350000000000001" customHeight="1">
      <c r="A37" s="318" t="s">
        <v>2172</v>
      </c>
      <c r="B37" s="318" t="s">
        <v>1026</v>
      </c>
      <c r="C37" s="318" t="str">
        <f>'Translate&amp;Prices&amp;Logo'!B553</f>
        <v>Naložený</v>
      </c>
      <c r="D37" s="316" t="str">
        <f t="shared" si="0"/>
        <v>široký_HETTICH_Naložený</v>
      </c>
      <c r="E37" s="318" t="str">
        <f>'Translate&amp;Prices&amp;Logo'!$B$583</f>
        <v>s pružinou bez tlumení</v>
      </c>
      <c r="F37" s="318" t="str">
        <f>'Translate&amp;Prices&amp;Logo'!$B$585</f>
        <v>stříbrná</v>
      </c>
      <c r="G37" s="318" t="str">
        <f t="shared" si="9"/>
        <v>232346 - Naložený s pružinou bez tlumení - stříbrná</v>
      </c>
      <c r="H37" s="319" t="s">
        <v>2169</v>
      </c>
      <c r="I37" s="319">
        <v>232346</v>
      </c>
      <c r="J37" s="319" t="s">
        <v>2169</v>
      </c>
      <c r="K37" s="319">
        <v>106403</v>
      </c>
      <c r="L37" s="319" t="str">
        <f t="shared" si="2"/>
        <v>křížová vrut - 106403</v>
      </c>
      <c r="M37" s="319" t="s">
        <v>3382</v>
      </c>
      <c r="N37" s="319" t="str">
        <f t="shared" si="3"/>
        <v>křížová vrut (excentr) - N/A</v>
      </c>
      <c r="O37" s="319">
        <v>119240</v>
      </c>
      <c r="P37" s="319" t="str">
        <f t="shared" si="4"/>
        <v>křížová euro - 119240</v>
      </c>
      <c r="Q37" s="319">
        <v>136276</v>
      </c>
      <c r="R37" s="319" t="str">
        <f t="shared" si="5"/>
        <v>křížová hmoždinka - 136276</v>
      </c>
      <c r="S37" s="319">
        <v>300319</v>
      </c>
      <c r="T37" s="319" t="str">
        <f t="shared" si="6"/>
        <v>přímá vrut - 300319</v>
      </c>
      <c r="U37" s="319" t="s">
        <v>3382</v>
      </c>
      <c r="V37" s="319" t="str">
        <f t="shared" si="7"/>
        <v>přímá euro - N/A</v>
      </c>
      <c r="W37" s="319" t="s">
        <v>3382</v>
      </c>
      <c r="X37" s="319" t="str">
        <f t="shared" si="8"/>
        <v>přímá hmoždinka - N/A</v>
      </c>
      <c r="Y37" s="318"/>
      <c r="Z37" s="318"/>
    </row>
    <row r="38" spans="1:26" ht="16.350000000000001" customHeight="1">
      <c r="A38" s="318" t="s">
        <v>2172</v>
      </c>
      <c r="B38" s="318" t="s">
        <v>1026</v>
      </c>
      <c r="C38" s="318" t="str">
        <f>'Translate&amp;Prices&amp;Logo'!B553</f>
        <v>Naložený</v>
      </c>
      <c r="D38" s="316" t="str">
        <f t="shared" si="0"/>
        <v>široký_HETTICH_Naložený</v>
      </c>
      <c r="E38" s="318" t="str">
        <f>'Translate&amp;Prices&amp;Logo'!$B$584</f>
        <v>tip-on bez pružiny/tlumení</v>
      </c>
      <c r="F38" s="318" t="str">
        <f>'Translate&amp;Prices&amp;Logo'!$B$585</f>
        <v>stříbrná</v>
      </c>
      <c r="G38" s="318" t="str">
        <f t="shared" si="9"/>
        <v>245723 - Naložený tip-on bez pružiny/tlumení - stříbrná</v>
      </c>
      <c r="H38" s="319" t="s">
        <v>2169</v>
      </c>
      <c r="I38" s="319">
        <v>245723</v>
      </c>
      <c r="J38" s="319" t="s">
        <v>2169</v>
      </c>
      <c r="K38" s="319">
        <v>106403</v>
      </c>
      <c r="L38" s="319" t="str">
        <f t="shared" si="2"/>
        <v>křížová vrut - 106403</v>
      </c>
      <c r="M38" s="319" t="s">
        <v>3382</v>
      </c>
      <c r="N38" s="319" t="str">
        <f t="shared" si="3"/>
        <v>křížová vrut (excentr) - N/A</v>
      </c>
      <c r="O38" s="319">
        <v>119240</v>
      </c>
      <c r="P38" s="319" t="str">
        <f t="shared" si="4"/>
        <v>křížová euro - 119240</v>
      </c>
      <c r="Q38" s="319">
        <v>136276</v>
      </c>
      <c r="R38" s="319" t="str">
        <f t="shared" si="5"/>
        <v>křížová hmoždinka - 136276</v>
      </c>
      <c r="S38" s="319">
        <v>300319</v>
      </c>
      <c r="T38" s="319" t="str">
        <f t="shared" si="6"/>
        <v>přímá vrut - 300319</v>
      </c>
      <c r="U38" s="319" t="s">
        <v>3382</v>
      </c>
      <c r="V38" s="319" t="str">
        <f t="shared" si="7"/>
        <v>přímá euro - N/A</v>
      </c>
      <c r="W38" s="319" t="s">
        <v>3382</v>
      </c>
      <c r="X38" s="319" t="str">
        <f t="shared" si="8"/>
        <v>přímá hmoždinka - N/A</v>
      </c>
      <c r="Y38" s="318"/>
      <c r="Z38" s="318"/>
    </row>
    <row r="39" spans="1:26" ht="16.350000000000001" customHeight="1">
      <c r="A39" s="318" t="s">
        <v>2172</v>
      </c>
      <c r="B39" s="318" t="s">
        <v>1026</v>
      </c>
      <c r="C39" s="318" t="str">
        <f>'Translate&amp;Prices&amp;Logo'!B553</f>
        <v>Naložený</v>
      </c>
      <c r="D39" s="316" t="str">
        <f t="shared" si="0"/>
        <v>široký_HETTICH_Naložený</v>
      </c>
      <c r="E39" s="318" t="str">
        <f>'Translate&amp;Prices&amp;Logo'!$B$584</f>
        <v>tip-on bez pružiny/tlumení</v>
      </c>
      <c r="F39" s="318" t="str">
        <f>'Translate&amp;Prices&amp;Logo'!$B$586</f>
        <v>černá</v>
      </c>
      <c r="G39" s="318" t="str">
        <f t="shared" si="9"/>
        <v>344694 - Naložený tip-on bez pružiny/tlumení - černá</v>
      </c>
      <c r="H39" s="319" t="s">
        <v>2169</v>
      </c>
      <c r="I39" s="319">
        <v>344694</v>
      </c>
      <c r="J39" s="319" t="s">
        <v>2169</v>
      </c>
      <c r="K39" s="319" t="s">
        <v>3382</v>
      </c>
      <c r="L39" s="319" t="str">
        <f t="shared" si="2"/>
        <v>křížová vrut - N/A</v>
      </c>
      <c r="M39" s="319" t="s">
        <v>3382</v>
      </c>
      <c r="N39" s="319" t="str">
        <f t="shared" si="3"/>
        <v>křížová vrut (excentr) - N/A</v>
      </c>
      <c r="O39" s="319">
        <v>344723</v>
      </c>
      <c r="P39" s="319" t="str">
        <f t="shared" si="4"/>
        <v>křížová euro - 344723</v>
      </c>
      <c r="Q39" s="319">
        <v>344727</v>
      </c>
      <c r="R39" s="319" t="str">
        <f t="shared" si="5"/>
        <v>křížová hmoždinka - 344727</v>
      </c>
      <c r="S39" s="319">
        <v>397949</v>
      </c>
      <c r="T39" s="319" t="str">
        <f t="shared" si="6"/>
        <v>přímá vrut - 397949</v>
      </c>
      <c r="U39" s="319" t="s">
        <v>3382</v>
      </c>
      <c r="V39" s="319" t="str">
        <f t="shared" si="7"/>
        <v>přímá euro - N/A</v>
      </c>
      <c r="W39" s="319" t="s">
        <v>3382</v>
      </c>
      <c r="X39" s="319" t="str">
        <f t="shared" si="8"/>
        <v>přímá hmoždinka - N/A</v>
      </c>
      <c r="Y39" s="318"/>
      <c r="Z39" s="318"/>
    </row>
    <row r="40" spans="1:26" ht="16.350000000000001" customHeight="1">
      <c r="A40" s="323" t="s">
        <v>2172</v>
      </c>
      <c r="B40" s="323" t="s">
        <v>1026</v>
      </c>
      <c r="C40" s="323" t="str">
        <f>'Translate&amp;Prices&amp;Logo'!B554</f>
        <v>Polonaložený</v>
      </c>
      <c r="D40" s="316" t="str">
        <f t="shared" si="0"/>
        <v>široký_HETTICH_Polonaložený</v>
      </c>
      <c r="E40" s="323" t="str">
        <f>'Translate&amp;Prices&amp;Logo'!$B$582</f>
        <v>s pružinou a tlumením</v>
      </c>
      <c r="F40" s="318" t="str">
        <f>'Translate&amp;Prices&amp;Logo'!$B$585</f>
        <v>stříbrná</v>
      </c>
      <c r="G40" s="318" t="str">
        <f t="shared" si="9"/>
        <v>104718 - Polonaložený s pružinou a tlumením - stříbrná</v>
      </c>
      <c r="H40" s="319" t="s">
        <v>2169</v>
      </c>
      <c r="I40" s="319">
        <v>104718</v>
      </c>
      <c r="J40" s="319" t="s">
        <v>2169</v>
      </c>
      <c r="K40" s="319">
        <v>106403</v>
      </c>
      <c r="L40" s="319" t="str">
        <f t="shared" si="2"/>
        <v>křížová vrut - 106403</v>
      </c>
      <c r="M40" s="319" t="s">
        <v>3382</v>
      </c>
      <c r="N40" s="319" t="str">
        <f t="shared" si="3"/>
        <v>křížová vrut (excentr) - N/A</v>
      </c>
      <c r="O40" s="319">
        <v>119240</v>
      </c>
      <c r="P40" s="319" t="str">
        <f t="shared" si="4"/>
        <v>křížová euro - 119240</v>
      </c>
      <c r="Q40" s="319">
        <v>136276</v>
      </c>
      <c r="R40" s="319" t="str">
        <f t="shared" si="5"/>
        <v>křížová hmoždinka - 136276</v>
      </c>
      <c r="S40" s="319">
        <v>300319</v>
      </c>
      <c r="T40" s="319" t="str">
        <f t="shared" si="6"/>
        <v>přímá vrut - 300319</v>
      </c>
      <c r="U40" s="319" t="s">
        <v>3382</v>
      </c>
      <c r="V40" s="319" t="str">
        <f t="shared" si="7"/>
        <v>přímá euro - N/A</v>
      </c>
      <c r="W40" s="319" t="s">
        <v>3382</v>
      </c>
      <c r="X40" s="319" t="str">
        <f t="shared" si="8"/>
        <v>přímá hmoždinka - N/A</v>
      </c>
      <c r="Y40" s="318"/>
      <c r="Z40" s="318"/>
    </row>
    <row r="41" spans="1:26" ht="16.350000000000001" customHeight="1">
      <c r="A41" s="323" t="s">
        <v>2172</v>
      </c>
      <c r="B41" s="323" t="s">
        <v>1026</v>
      </c>
      <c r="C41" s="323" t="str">
        <f>'Translate&amp;Prices&amp;Logo'!B554</f>
        <v>Polonaložený</v>
      </c>
      <c r="D41" s="316" t="str">
        <f t="shared" si="0"/>
        <v>široký_HETTICH_Polonaložený</v>
      </c>
      <c r="E41" s="323" t="str">
        <f>'Translate&amp;Prices&amp;Logo'!$B$582</f>
        <v>s pružinou a tlumením</v>
      </c>
      <c r="F41" s="318" t="str">
        <f>'Translate&amp;Prices&amp;Logo'!$B$586</f>
        <v>černá</v>
      </c>
      <c r="G41" s="318" t="str">
        <f t="shared" si="9"/>
        <v>344692 - Polonaložený s pružinou a tlumením - černá</v>
      </c>
      <c r="H41" s="319" t="s">
        <v>2169</v>
      </c>
      <c r="I41" s="319">
        <v>344692</v>
      </c>
      <c r="J41" s="319" t="s">
        <v>2169</v>
      </c>
      <c r="K41" s="319" t="s">
        <v>3382</v>
      </c>
      <c r="L41" s="319" t="str">
        <f t="shared" si="2"/>
        <v>křížová vrut - N/A</v>
      </c>
      <c r="M41" s="319" t="s">
        <v>3382</v>
      </c>
      <c r="N41" s="319" t="str">
        <f t="shared" si="3"/>
        <v>křížová vrut (excentr) - N/A</v>
      </c>
      <c r="O41" s="319">
        <v>344723</v>
      </c>
      <c r="P41" s="319" t="str">
        <f t="shared" si="4"/>
        <v>křížová euro - 344723</v>
      </c>
      <c r="Q41" s="319">
        <v>344727</v>
      </c>
      <c r="R41" s="319" t="str">
        <f t="shared" si="5"/>
        <v>křížová hmoždinka - 344727</v>
      </c>
      <c r="S41" s="319">
        <v>397949</v>
      </c>
      <c r="T41" s="319" t="str">
        <f t="shared" si="6"/>
        <v>přímá vrut - 397949</v>
      </c>
      <c r="U41" s="319" t="s">
        <v>3382</v>
      </c>
      <c r="V41" s="319" t="str">
        <f t="shared" si="7"/>
        <v>přímá euro - N/A</v>
      </c>
      <c r="W41" s="319" t="s">
        <v>3382</v>
      </c>
      <c r="X41" s="319" t="str">
        <f t="shared" si="8"/>
        <v>přímá hmoždinka - N/A</v>
      </c>
      <c r="Y41" s="318"/>
      <c r="Z41" s="318"/>
    </row>
    <row r="42" spans="1:26" ht="16.350000000000001" customHeight="1">
      <c r="A42" s="323" t="s">
        <v>2172</v>
      </c>
      <c r="B42" s="323" t="s">
        <v>1026</v>
      </c>
      <c r="C42" s="323" t="str">
        <f>'Translate&amp;Prices&amp;Logo'!B554</f>
        <v>Polonaložený</v>
      </c>
      <c r="D42" s="316" t="str">
        <f t="shared" si="0"/>
        <v>široký_HETTICH_Polonaložený</v>
      </c>
      <c r="E42" s="323" t="str">
        <f>'Translate&amp;Prices&amp;Logo'!$B$583</f>
        <v>s pružinou bez tlumení</v>
      </c>
      <c r="F42" s="318" t="str">
        <f>'Translate&amp;Prices&amp;Logo'!$B$585</f>
        <v>stříbrná</v>
      </c>
      <c r="G42" s="318" t="str">
        <f t="shared" si="9"/>
        <v>232347 - Polonaložený s pružinou bez tlumení - stříbrná</v>
      </c>
      <c r="H42" s="319" t="s">
        <v>2169</v>
      </c>
      <c r="I42" s="319">
        <v>232347</v>
      </c>
      <c r="J42" s="319" t="s">
        <v>2169</v>
      </c>
      <c r="K42" s="319">
        <v>106403</v>
      </c>
      <c r="L42" s="319" t="str">
        <f t="shared" si="2"/>
        <v>křížová vrut - 106403</v>
      </c>
      <c r="M42" s="319" t="s">
        <v>3382</v>
      </c>
      <c r="N42" s="319" t="str">
        <f t="shared" si="3"/>
        <v>křížová vrut (excentr) - N/A</v>
      </c>
      <c r="O42" s="319">
        <v>119240</v>
      </c>
      <c r="P42" s="319" t="str">
        <f t="shared" si="4"/>
        <v>křížová euro - 119240</v>
      </c>
      <c r="Q42" s="319">
        <v>136276</v>
      </c>
      <c r="R42" s="319" t="str">
        <f t="shared" si="5"/>
        <v>křížová hmoždinka - 136276</v>
      </c>
      <c r="S42" s="319">
        <v>300319</v>
      </c>
      <c r="T42" s="319" t="str">
        <f t="shared" si="6"/>
        <v>přímá vrut - 300319</v>
      </c>
      <c r="U42" s="319" t="s">
        <v>3382</v>
      </c>
      <c r="V42" s="319" t="str">
        <f t="shared" si="7"/>
        <v>přímá euro - N/A</v>
      </c>
      <c r="W42" s="319" t="s">
        <v>3382</v>
      </c>
      <c r="X42" s="319" t="str">
        <f t="shared" si="8"/>
        <v>přímá hmoždinka - N/A</v>
      </c>
      <c r="Y42" s="318"/>
      <c r="Z42" s="318"/>
    </row>
    <row r="43" spans="1:26" ht="16.350000000000001" customHeight="1">
      <c r="A43" s="323" t="s">
        <v>2172</v>
      </c>
      <c r="B43" s="323" t="s">
        <v>1026</v>
      </c>
      <c r="C43" s="323" t="str">
        <f>'Translate&amp;Prices&amp;Logo'!B554</f>
        <v>Polonaložený</v>
      </c>
      <c r="D43" s="316" t="str">
        <f t="shared" si="0"/>
        <v>široký_HETTICH_Polonaložený</v>
      </c>
      <c r="E43" s="323" t="str">
        <f>'Translate&amp;Prices&amp;Logo'!$B$584</f>
        <v>tip-on bez pružiny/tlumení</v>
      </c>
      <c r="F43" s="318" t="str">
        <f>'Translate&amp;Prices&amp;Logo'!$B$585</f>
        <v>stříbrná</v>
      </c>
      <c r="G43" s="318" t="str">
        <f t="shared" si="9"/>
        <v>245724 - Polonaložený tip-on bez pružiny/tlumení - stříbrná</v>
      </c>
      <c r="H43" s="319" t="s">
        <v>2169</v>
      </c>
      <c r="I43" s="319">
        <v>245724</v>
      </c>
      <c r="J43" s="319" t="s">
        <v>2169</v>
      </c>
      <c r="K43" s="319">
        <v>106403</v>
      </c>
      <c r="L43" s="319" t="str">
        <f t="shared" si="2"/>
        <v>křížová vrut - 106403</v>
      </c>
      <c r="M43" s="319" t="s">
        <v>3382</v>
      </c>
      <c r="N43" s="319" t="str">
        <f t="shared" si="3"/>
        <v>křížová vrut (excentr) - N/A</v>
      </c>
      <c r="O43" s="319">
        <v>119240</v>
      </c>
      <c r="P43" s="319" t="str">
        <f t="shared" si="4"/>
        <v>křížová euro - 119240</v>
      </c>
      <c r="Q43" s="319">
        <v>136276</v>
      </c>
      <c r="R43" s="319" t="str">
        <f t="shared" si="5"/>
        <v>křížová hmoždinka - 136276</v>
      </c>
      <c r="S43" s="319">
        <v>300319</v>
      </c>
      <c r="T43" s="319" t="str">
        <f t="shared" si="6"/>
        <v>přímá vrut - 300319</v>
      </c>
      <c r="U43" s="319" t="s">
        <v>3382</v>
      </c>
      <c r="V43" s="319" t="str">
        <f t="shared" si="7"/>
        <v>přímá euro - N/A</v>
      </c>
      <c r="W43" s="319" t="s">
        <v>3382</v>
      </c>
      <c r="X43" s="319" t="str">
        <f t="shared" si="8"/>
        <v>přímá hmoždinka - N/A</v>
      </c>
      <c r="Y43" s="318"/>
      <c r="Z43" s="318"/>
    </row>
    <row r="44" spans="1:26" ht="16.350000000000001" customHeight="1">
      <c r="A44" s="323" t="s">
        <v>2172</v>
      </c>
      <c r="B44" s="323" t="s">
        <v>1026</v>
      </c>
      <c r="C44" s="323" t="str">
        <f>'Translate&amp;Prices&amp;Logo'!B554</f>
        <v>Polonaložený</v>
      </c>
      <c r="D44" s="316" t="str">
        <f t="shared" si="0"/>
        <v>široký_HETTICH_Polonaložený</v>
      </c>
      <c r="E44" s="323" t="str">
        <f>'Translate&amp;Prices&amp;Logo'!$B$584</f>
        <v>tip-on bez pružiny/tlumení</v>
      </c>
      <c r="F44" s="318" t="str">
        <f>'Translate&amp;Prices&amp;Logo'!$B$586</f>
        <v>černá</v>
      </c>
      <c r="G44" s="318" t="str">
        <f t="shared" si="9"/>
        <v>344695 - Polonaložený tip-on bez pružiny/tlumení - černá</v>
      </c>
      <c r="H44" s="319" t="s">
        <v>2169</v>
      </c>
      <c r="I44" s="319">
        <v>344695</v>
      </c>
      <c r="J44" s="319" t="s">
        <v>2169</v>
      </c>
      <c r="K44" s="319" t="s">
        <v>3382</v>
      </c>
      <c r="L44" s="319" t="str">
        <f t="shared" si="2"/>
        <v>křížová vrut - N/A</v>
      </c>
      <c r="M44" s="319" t="s">
        <v>3382</v>
      </c>
      <c r="N44" s="319" t="str">
        <f t="shared" si="3"/>
        <v>křížová vrut (excentr) - N/A</v>
      </c>
      <c r="O44" s="319">
        <v>344723</v>
      </c>
      <c r="P44" s="319" t="str">
        <f t="shared" si="4"/>
        <v>křížová euro - 344723</v>
      </c>
      <c r="Q44" s="319">
        <v>344727</v>
      </c>
      <c r="R44" s="319" t="str">
        <f t="shared" si="5"/>
        <v>křížová hmoždinka - 344727</v>
      </c>
      <c r="S44" s="319">
        <v>397949</v>
      </c>
      <c r="T44" s="319" t="str">
        <f t="shared" si="6"/>
        <v>přímá vrut - 397949</v>
      </c>
      <c r="U44" s="319" t="s">
        <v>3382</v>
      </c>
      <c r="V44" s="319" t="str">
        <f t="shared" si="7"/>
        <v>přímá euro - N/A</v>
      </c>
      <c r="W44" s="319" t="s">
        <v>3382</v>
      </c>
      <c r="X44" s="319" t="str">
        <f t="shared" si="8"/>
        <v>přímá hmoždinka - N/A</v>
      </c>
      <c r="Y44" s="318"/>
      <c r="Z44" s="318"/>
    </row>
    <row r="45" spans="1:26" ht="16.350000000000001" customHeight="1">
      <c r="A45" s="318" t="s">
        <v>2172</v>
      </c>
      <c r="B45" s="318" t="s">
        <v>1026</v>
      </c>
      <c r="C45" s="318" t="str">
        <f>'Translate&amp;Prices&amp;Logo'!B555</f>
        <v>Vložený</v>
      </c>
      <c r="D45" s="316" t="str">
        <f t="shared" si="0"/>
        <v>široký_HETTICH_Vložený</v>
      </c>
      <c r="E45" s="318" t="str">
        <f>'Translate&amp;Prices&amp;Logo'!$B$582</f>
        <v>s pružinou a tlumením</v>
      </c>
      <c r="F45" s="318" t="str">
        <f>'Translate&amp;Prices&amp;Logo'!$B$585</f>
        <v>stříbrná</v>
      </c>
      <c r="G45" s="318" t="str">
        <f t="shared" si="9"/>
        <v>104719 - Vložený s pružinou a tlumením - stříbrná</v>
      </c>
      <c r="H45" s="319" t="s">
        <v>2169</v>
      </c>
      <c r="I45" s="319">
        <v>104719</v>
      </c>
      <c r="J45" s="319" t="s">
        <v>2169</v>
      </c>
      <c r="K45" s="319">
        <v>106403</v>
      </c>
      <c r="L45" s="319" t="str">
        <f t="shared" si="2"/>
        <v>křížová vrut - 106403</v>
      </c>
      <c r="M45" s="319" t="s">
        <v>3382</v>
      </c>
      <c r="N45" s="319" t="str">
        <f t="shared" si="3"/>
        <v>křížová vrut (excentr) - N/A</v>
      </c>
      <c r="O45" s="319">
        <v>119240</v>
      </c>
      <c r="P45" s="319" t="str">
        <f t="shared" si="4"/>
        <v>křížová euro - 119240</v>
      </c>
      <c r="Q45" s="319">
        <v>136276</v>
      </c>
      <c r="R45" s="319" t="str">
        <f t="shared" si="5"/>
        <v>křížová hmoždinka - 136276</v>
      </c>
      <c r="S45" s="319">
        <v>300319</v>
      </c>
      <c r="T45" s="319" t="str">
        <f t="shared" si="6"/>
        <v>přímá vrut - 300319</v>
      </c>
      <c r="U45" s="319" t="s">
        <v>3382</v>
      </c>
      <c r="V45" s="319" t="str">
        <f t="shared" si="7"/>
        <v>přímá euro - N/A</v>
      </c>
      <c r="W45" s="319" t="s">
        <v>3382</v>
      </c>
      <c r="X45" s="319" t="str">
        <f t="shared" si="8"/>
        <v>přímá hmoždinka - N/A</v>
      </c>
      <c r="Y45" s="318"/>
      <c r="Z45" s="318"/>
    </row>
    <row r="46" spans="1:26" ht="16.350000000000001" customHeight="1">
      <c r="A46" s="318" t="s">
        <v>2172</v>
      </c>
      <c r="B46" s="318" t="s">
        <v>1026</v>
      </c>
      <c r="C46" s="318" t="str">
        <f>'Translate&amp;Prices&amp;Logo'!B555</f>
        <v>Vložený</v>
      </c>
      <c r="D46" s="316" t="str">
        <f t="shared" si="0"/>
        <v>široký_HETTICH_Vložený</v>
      </c>
      <c r="E46" s="318" t="str">
        <f>'Translate&amp;Prices&amp;Logo'!$B$582</f>
        <v>s pružinou a tlumením</v>
      </c>
      <c r="F46" s="318" t="str">
        <f>'Translate&amp;Prices&amp;Logo'!$B$586</f>
        <v>černá</v>
      </c>
      <c r="G46" s="318" t="str">
        <f t="shared" si="9"/>
        <v>344693 - Vložený s pružinou a tlumením - černá</v>
      </c>
      <c r="H46" s="319" t="s">
        <v>2169</v>
      </c>
      <c r="I46" s="319">
        <v>344693</v>
      </c>
      <c r="J46" s="319" t="s">
        <v>2169</v>
      </c>
      <c r="K46" s="319" t="s">
        <v>3382</v>
      </c>
      <c r="L46" s="319" t="str">
        <f t="shared" si="2"/>
        <v>křížová vrut - N/A</v>
      </c>
      <c r="M46" s="319" t="s">
        <v>3382</v>
      </c>
      <c r="N46" s="319" t="str">
        <f t="shared" si="3"/>
        <v>křížová vrut (excentr) - N/A</v>
      </c>
      <c r="O46" s="319">
        <v>344723</v>
      </c>
      <c r="P46" s="319" t="str">
        <f t="shared" si="4"/>
        <v>křížová euro - 344723</v>
      </c>
      <c r="Q46" s="319">
        <v>344727</v>
      </c>
      <c r="R46" s="319" t="str">
        <f t="shared" si="5"/>
        <v>křížová hmoždinka - 344727</v>
      </c>
      <c r="S46" s="319">
        <v>397949</v>
      </c>
      <c r="T46" s="319" t="str">
        <f t="shared" si="6"/>
        <v>přímá vrut - 397949</v>
      </c>
      <c r="U46" s="319" t="s">
        <v>3382</v>
      </c>
      <c r="V46" s="319" t="str">
        <f t="shared" si="7"/>
        <v>přímá euro - N/A</v>
      </c>
      <c r="W46" s="319" t="s">
        <v>3382</v>
      </c>
      <c r="X46" s="319" t="str">
        <f t="shared" si="8"/>
        <v>přímá hmoždinka - N/A</v>
      </c>
      <c r="Y46" s="318"/>
      <c r="Z46" s="318"/>
    </row>
    <row r="47" spans="1:26" ht="16.350000000000001" customHeight="1">
      <c r="A47" s="318" t="s">
        <v>2172</v>
      </c>
      <c r="B47" s="318" t="s">
        <v>1026</v>
      </c>
      <c r="C47" s="318" t="str">
        <f>'Translate&amp;Prices&amp;Logo'!B555</f>
        <v>Vložený</v>
      </c>
      <c r="D47" s="316" t="str">
        <f t="shared" si="0"/>
        <v>široký_HETTICH_Vložený</v>
      </c>
      <c r="E47" s="318" t="str">
        <f>'Translate&amp;Prices&amp;Logo'!$B$583</f>
        <v>s pružinou bez tlumení</v>
      </c>
      <c r="F47" s="318" t="str">
        <f>'Translate&amp;Prices&amp;Logo'!$B$585</f>
        <v>stříbrná</v>
      </c>
      <c r="G47" s="318" t="str">
        <f t="shared" si="9"/>
        <v>232348 - Vložený s pružinou bez tlumení - stříbrná</v>
      </c>
      <c r="H47" s="319" t="s">
        <v>2169</v>
      </c>
      <c r="I47" s="319">
        <v>232348</v>
      </c>
      <c r="J47" s="319" t="s">
        <v>2169</v>
      </c>
      <c r="K47" s="319">
        <v>106403</v>
      </c>
      <c r="L47" s="319" t="str">
        <f t="shared" si="2"/>
        <v>křížová vrut - 106403</v>
      </c>
      <c r="M47" s="319" t="s">
        <v>3382</v>
      </c>
      <c r="N47" s="319" t="str">
        <f t="shared" si="3"/>
        <v>křížová vrut (excentr) - N/A</v>
      </c>
      <c r="O47" s="319">
        <v>119240</v>
      </c>
      <c r="P47" s="319" t="str">
        <f t="shared" si="4"/>
        <v>křížová euro - 119240</v>
      </c>
      <c r="Q47" s="319">
        <v>136276</v>
      </c>
      <c r="R47" s="319" t="str">
        <f t="shared" si="5"/>
        <v>křížová hmoždinka - 136276</v>
      </c>
      <c r="S47" s="319">
        <v>300319</v>
      </c>
      <c r="T47" s="319" t="str">
        <f t="shared" si="6"/>
        <v>přímá vrut - 300319</v>
      </c>
      <c r="U47" s="319" t="s">
        <v>3382</v>
      </c>
      <c r="V47" s="319" t="str">
        <f t="shared" si="7"/>
        <v>přímá euro - N/A</v>
      </c>
      <c r="W47" s="319" t="s">
        <v>3382</v>
      </c>
      <c r="X47" s="319" t="str">
        <f t="shared" si="8"/>
        <v>přímá hmoždinka - N/A</v>
      </c>
      <c r="Y47" s="318"/>
      <c r="Z47" s="318"/>
    </row>
    <row r="48" spans="1:26" ht="16.350000000000001" customHeight="1">
      <c r="A48" s="318" t="s">
        <v>2172</v>
      </c>
      <c r="B48" s="318" t="s">
        <v>1026</v>
      </c>
      <c r="C48" s="318" t="str">
        <f>'Translate&amp;Prices&amp;Logo'!B555</f>
        <v>Vložený</v>
      </c>
      <c r="D48" s="316" t="str">
        <f t="shared" si="0"/>
        <v>široký_HETTICH_Vložený</v>
      </c>
      <c r="E48" s="318" t="str">
        <f>'Translate&amp;Prices&amp;Logo'!$B$584</f>
        <v>tip-on bez pružiny/tlumení</v>
      </c>
      <c r="F48" s="318" t="str">
        <f>'Translate&amp;Prices&amp;Logo'!$B$585</f>
        <v>stříbrná</v>
      </c>
      <c r="G48" s="318" t="str">
        <f t="shared" si="9"/>
        <v>245725 - Vložený tip-on bez pružiny/tlumení - stříbrná</v>
      </c>
      <c r="H48" s="319" t="s">
        <v>2169</v>
      </c>
      <c r="I48" s="319">
        <v>245725</v>
      </c>
      <c r="J48" s="319" t="s">
        <v>2169</v>
      </c>
      <c r="K48" s="319">
        <v>106403</v>
      </c>
      <c r="L48" s="319" t="str">
        <f t="shared" si="2"/>
        <v>křížová vrut - 106403</v>
      </c>
      <c r="M48" s="319" t="s">
        <v>3382</v>
      </c>
      <c r="N48" s="319" t="str">
        <f t="shared" si="3"/>
        <v>křížová vrut (excentr) - N/A</v>
      </c>
      <c r="O48" s="319">
        <v>119240</v>
      </c>
      <c r="P48" s="319" t="str">
        <f t="shared" si="4"/>
        <v>křížová euro - 119240</v>
      </c>
      <c r="Q48" s="319">
        <v>136276</v>
      </c>
      <c r="R48" s="319" t="str">
        <f t="shared" si="5"/>
        <v>křížová hmoždinka - 136276</v>
      </c>
      <c r="S48" s="319">
        <v>300319</v>
      </c>
      <c r="T48" s="319" t="str">
        <f t="shared" si="6"/>
        <v>přímá vrut - 300319</v>
      </c>
      <c r="U48" s="319" t="s">
        <v>3382</v>
      </c>
      <c r="V48" s="319" t="str">
        <f t="shared" si="7"/>
        <v>přímá euro - N/A</v>
      </c>
      <c r="W48" s="319" t="s">
        <v>3382</v>
      </c>
      <c r="X48" s="319" t="str">
        <f t="shared" si="8"/>
        <v>přímá hmoždinka - N/A</v>
      </c>
      <c r="Y48" s="318"/>
      <c r="Z48" s="318"/>
    </row>
    <row r="49" spans="1:26" ht="16.350000000000001" customHeight="1">
      <c r="A49" s="318" t="s">
        <v>2172</v>
      </c>
      <c r="B49" s="318" t="s">
        <v>1026</v>
      </c>
      <c r="C49" s="318" t="str">
        <f>'Translate&amp;Prices&amp;Logo'!B555</f>
        <v>Vložený</v>
      </c>
      <c r="D49" s="316" t="str">
        <f t="shared" si="0"/>
        <v>široký_HETTICH_Vložený</v>
      </c>
      <c r="E49" s="318" t="str">
        <f>'Translate&amp;Prices&amp;Logo'!$B$584</f>
        <v>tip-on bez pružiny/tlumení</v>
      </c>
      <c r="F49" s="318" t="str">
        <f>'Translate&amp;Prices&amp;Logo'!$B$586</f>
        <v>černá</v>
      </c>
      <c r="G49" s="318" t="str">
        <f t="shared" si="9"/>
        <v>344696 - Vložený tip-on bez pružiny/tlumení - černá</v>
      </c>
      <c r="H49" s="319" t="s">
        <v>2169</v>
      </c>
      <c r="I49" s="319">
        <v>344696</v>
      </c>
      <c r="J49" s="319" t="s">
        <v>2169</v>
      </c>
      <c r="K49" s="319" t="s">
        <v>3382</v>
      </c>
      <c r="L49" s="319" t="str">
        <f t="shared" si="2"/>
        <v>křížová vrut - N/A</v>
      </c>
      <c r="M49" s="319" t="s">
        <v>3382</v>
      </c>
      <c r="N49" s="319" t="str">
        <f t="shared" si="3"/>
        <v>křížová vrut (excentr) - N/A</v>
      </c>
      <c r="O49" s="319">
        <v>344723</v>
      </c>
      <c r="P49" s="319" t="str">
        <f t="shared" si="4"/>
        <v>křížová euro - 344723</v>
      </c>
      <c r="Q49" s="319">
        <v>344727</v>
      </c>
      <c r="R49" s="319" t="str">
        <f t="shared" si="5"/>
        <v>křížová hmoždinka - 344727</v>
      </c>
      <c r="S49" s="319">
        <v>397949</v>
      </c>
      <c r="T49" s="319" t="str">
        <f t="shared" si="6"/>
        <v>přímá vrut - 397949</v>
      </c>
      <c r="U49" s="319" t="s">
        <v>3382</v>
      </c>
      <c r="V49" s="319" t="str">
        <f t="shared" si="7"/>
        <v>přímá euro - N/A</v>
      </c>
      <c r="W49" s="319" t="s">
        <v>3382</v>
      </c>
      <c r="X49" s="319" t="str">
        <f t="shared" si="8"/>
        <v>přímá hmoždinka - N/A</v>
      </c>
      <c r="Y49" s="318"/>
      <c r="Z49" s="318"/>
    </row>
    <row r="50" spans="1:26" ht="16.350000000000001" customHeight="1">
      <c r="A50" s="323" t="s">
        <v>2172</v>
      </c>
      <c r="B50" s="323" t="s">
        <v>110</v>
      </c>
      <c r="C50" s="323" t="str">
        <f>'Translate&amp;Prices&amp;Logo'!B553</f>
        <v>Naložený</v>
      </c>
      <c r="D50" s="316" t="str">
        <f t="shared" si="0"/>
        <v>široký_STRONG_Naložený</v>
      </c>
      <c r="E50" s="323" t="str">
        <f>'Translate&amp;Prices&amp;Logo'!$B$582</f>
        <v>s pružinou a tlumením</v>
      </c>
      <c r="F50" s="318" t="str">
        <f>'Translate&amp;Prices&amp;Logo'!$B$585</f>
        <v>stříbrná</v>
      </c>
      <c r="G50" s="318" t="str">
        <f t="shared" si="9"/>
        <v>92580T - Naložený s pružinou a tlumením - stříbrná</v>
      </c>
      <c r="H50" s="319" t="s">
        <v>2169</v>
      </c>
      <c r="I50" s="319" t="s">
        <v>114</v>
      </c>
      <c r="J50" s="319" t="s">
        <v>2169</v>
      </c>
      <c r="K50" s="319" t="s">
        <v>113</v>
      </c>
      <c r="L50" s="319" t="str">
        <f>CONCATENATE($K$1," - ",K50)</f>
        <v>křížová vrut - 92590T</v>
      </c>
      <c r="M50" s="319" t="s">
        <v>117</v>
      </c>
      <c r="N50" s="319" t="str">
        <f t="shared" si="3"/>
        <v>křížová vrut (excentr) - 92594T</v>
      </c>
      <c r="O50" s="319" t="s">
        <v>119</v>
      </c>
      <c r="P50" s="319" t="str">
        <f t="shared" si="4"/>
        <v>křížová euro - 92591T</v>
      </c>
      <c r="Q50" s="319" t="s">
        <v>3382</v>
      </c>
      <c r="R50" s="319" t="str">
        <f t="shared" si="5"/>
        <v>křížová hmoždinka - N/A</v>
      </c>
      <c r="S50" s="319" t="s">
        <v>3382</v>
      </c>
      <c r="T50" s="319" t="str">
        <f t="shared" si="6"/>
        <v>přímá vrut - N/A</v>
      </c>
      <c r="U50" s="319" t="s">
        <v>3382</v>
      </c>
      <c r="V50" s="319" t="str">
        <f t="shared" si="7"/>
        <v>přímá euro - N/A</v>
      </c>
      <c r="W50" s="319" t="s">
        <v>3382</v>
      </c>
      <c r="X50" s="319" t="str">
        <f t="shared" si="8"/>
        <v>přímá hmoždinka - N/A</v>
      </c>
      <c r="Y50" s="318"/>
      <c r="Z50" s="318"/>
    </row>
    <row r="51" spans="1:26" ht="16.350000000000001" customHeight="1">
      <c r="A51" s="323" t="s">
        <v>2172</v>
      </c>
      <c r="B51" s="323" t="s">
        <v>110</v>
      </c>
      <c r="C51" s="323" t="str">
        <f>'Translate&amp;Prices&amp;Logo'!B553</f>
        <v>Naložený</v>
      </c>
      <c r="D51" s="316" t="str">
        <f t="shared" si="0"/>
        <v>široký_STRONG_Naložený</v>
      </c>
      <c r="E51" s="323" t="str">
        <f>'Translate&amp;Prices&amp;Logo'!$B$583</f>
        <v>s pružinou bez tlumení</v>
      </c>
      <c r="F51" s="318" t="str">
        <f>'Translate&amp;Prices&amp;Logo'!$B$585</f>
        <v>stříbrná</v>
      </c>
      <c r="G51" s="318" t="str">
        <f t="shared" si="9"/>
        <v>198818 - Naložený s pružinou bez tlumení - stříbrná</v>
      </c>
      <c r="H51" s="319" t="s">
        <v>2169</v>
      </c>
      <c r="I51" s="319">
        <v>198818</v>
      </c>
      <c r="J51" s="319" t="s">
        <v>2169</v>
      </c>
      <c r="K51" s="319" t="s">
        <v>113</v>
      </c>
      <c r="L51" s="319" t="str">
        <f>CONCATENATE($K$1," - ",K51)</f>
        <v>křížová vrut - 92590T</v>
      </c>
      <c r="M51" s="319" t="s">
        <v>117</v>
      </c>
      <c r="N51" s="319" t="str">
        <f t="shared" si="3"/>
        <v>křížová vrut (excentr) - 92594T</v>
      </c>
      <c r="O51" s="319" t="s">
        <v>119</v>
      </c>
      <c r="P51" s="319" t="str">
        <f t="shared" si="4"/>
        <v>křížová euro - 92591T</v>
      </c>
      <c r="Q51" s="319" t="s">
        <v>3382</v>
      </c>
      <c r="R51" s="319" t="str">
        <f t="shared" si="5"/>
        <v>křížová hmoždinka - N/A</v>
      </c>
      <c r="S51" s="319" t="s">
        <v>3382</v>
      </c>
      <c r="T51" s="319" t="str">
        <f t="shared" si="6"/>
        <v>přímá vrut - N/A</v>
      </c>
      <c r="U51" s="319" t="s">
        <v>3382</v>
      </c>
      <c r="V51" s="319" t="str">
        <f t="shared" si="7"/>
        <v>přímá euro - N/A</v>
      </c>
      <c r="W51" s="319" t="s">
        <v>3382</v>
      </c>
      <c r="X51" s="319" t="str">
        <f t="shared" si="8"/>
        <v>přímá hmoždinka - N/A</v>
      </c>
      <c r="Y51" s="318"/>
      <c r="Z51" s="318"/>
    </row>
    <row r="52" spans="1:26" ht="16.350000000000001" customHeight="1">
      <c r="A52" s="318" t="s">
        <v>2172</v>
      </c>
      <c r="B52" s="318" t="s">
        <v>110</v>
      </c>
      <c r="C52" s="318" t="str">
        <f>'Translate&amp;Prices&amp;Logo'!B554</f>
        <v>Polonaložený</v>
      </c>
      <c r="D52" s="316" t="str">
        <f t="shared" si="0"/>
        <v>široký_STRONG_Polonaložený</v>
      </c>
      <c r="E52" s="318" t="str">
        <f>'Translate&amp;Prices&amp;Logo'!$B$582</f>
        <v>s pružinou a tlumením</v>
      </c>
      <c r="F52" s="318" t="str">
        <f>'Translate&amp;Prices&amp;Logo'!$B$585</f>
        <v>stříbrná</v>
      </c>
      <c r="G52" s="318" t="str">
        <f t="shared" si="9"/>
        <v>92581T - Polonaložený s pružinou a tlumením - stříbrná</v>
      </c>
      <c r="H52" s="319" t="s">
        <v>2169</v>
      </c>
      <c r="I52" s="319" t="s">
        <v>115</v>
      </c>
      <c r="J52" s="319" t="s">
        <v>2169</v>
      </c>
      <c r="K52" s="319" t="s">
        <v>113</v>
      </c>
      <c r="L52" s="319" t="str">
        <f>CONCATENATE($K$1," - ",K52)</f>
        <v>křížová vrut - 92590T</v>
      </c>
      <c r="M52" s="319" t="s">
        <v>117</v>
      </c>
      <c r="N52" s="319" t="str">
        <f t="shared" si="3"/>
        <v>křížová vrut (excentr) - 92594T</v>
      </c>
      <c r="O52" s="319" t="s">
        <v>119</v>
      </c>
      <c r="P52" s="319" t="str">
        <f t="shared" si="4"/>
        <v>křížová euro - 92591T</v>
      </c>
      <c r="Q52" s="319" t="s">
        <v>3382</v>
      </c>
      <c r="R52" s="319" t="str">
        <f t="shared" si="5"/>
        <v>křížová hmoždinka - N/A</v>
      </c>
      <c r="S52" s="319" t="s">
        <v>3382</v>
      </c>
      <c r="T52" s="319" t="str">
        <f t="shared" si="6"/>
        <v>přímá vrut - N/A</v>
      </c>
      <c r="U52" s="319" t="s">
        <v>3382</v>
      </c>
      <c r="V52" s="319" t="str">
        <f t="shared" si="7"/>
        <v>přímá euro - N/A</v>
      </c>
      <c r="W52" s="319" t="s">
        <v>3382</v>
      </c>
      <c r="X52" s="319" t="str">
        <f t="shared" si="8"/>
        <v>přímá hmoždinka - N/A</v>
      </c>
      <c r="Y52" s="318"/>
      <c r="Z52" s="318"/>
    </row>
    <row r="53" spans="1:26" ht="16.350000000000001" customHeight="1">
      <c r="A53" s="318" t="s">
        <v>2172</v>
      </c>
      <c r="B53" s="318" t="s">
        <v>110</v>
      </c>
      <c r="C53" s="318" t="str">
        <f>'Translate&amp;Prices&amp;Logo'!B554</f>
        <v>Polonaložený</v>
      </c>
      <c r="D53" s="316" t="str">
        <f t="shared" si="0"/>
        <v>široký_STRONG_Polonaložený</v>
      </c>
      <c r="E53" s="318" t="str">
        <f>'Translate&amp;Prices&amp;Logo'!$B$583</f>
        <v>s pružinou bez tlumení</v>
      </c>
      <c r="F53" s="318" t="str">
        <f>'Translate&amp;Prices&amp;Logo'!$B$585</f>
        <v>stříbrná</v>
      </c>
      <c r="G53" s="318" t="str">
        <f t="shared" si="9"/>
        <v>198819 - Polonaložený s pružinou bez tlumení - stříbrná</v>
      </c>
      <c r="H53" s="319" t="s">
        <v>2169</v>
      </c>
      <c r="I53" s="319">
        <v>198819</v>
      </c>
      <c r="J53" s="319" t="s">
        <v>2169</v>
      </c>
      <c r="K53" s="319" t="s">
        <v>113</v>
      </c>
      <c r="L53" s="319" t="str">
        <f>CONCATENATE($K$1," - ",K53)</f>
        <v>křížová vrut - 92590T</v>
      </c>
      <c r="M53" s="319" t="s">
        <v>117</v>
      </c>
      <c r="N53" s="319" t="str">
        <f t="shared" si="3"/>
        <v>křížová vrut (excentr) - 92594T</v>
      </c>
      <c r="O53" s="319" t="s">
        <v>119</v>
      </c>
      <c r="P53" s="319" t="str">
        <f t="shared" si="4"/>
        <v>křížová euro - 92591T</v>
      </c>
      <c r="Q53" s="319" t="s">
        <v>3382</v>
      </c>
      <c r="R53" s="319" t="str">
        <f t="shared" si="5"/>
        <v>křížová hmoždinka - N/A</v>
      </c>
      <c r="S53" s="319" t="s">
        <v>3382</v>
      </c>
      <c r="T53" s="319" t="str">
        <f t="shared" si="6"/>
        <v>přímá vrut - N/A</v>
      </c>
      <c r="U53" s="319" t="s">
        <v>3382</v>
      </c>
      <c r="V53" s="319" t="str">
        <f t="shared" si="7"/>
        <v>přímá euro - N/A</v>
      </c>
      <c r="W53" s="319" t="s">
        <v>3382</v>
      </c>
      <c r="X53" s="319" t="str">
        <f t="shared" si="8"/>
        <v>přímá hmoždinka - N/A</v>
      </c>
      <c r="Y53" s="318"/>
      <c r="Z53" s="318"/>
    </row>
    <row r="54" spans="1:26" ht="16.350000000000001" customHeight="1">
      <c r="A54" s="323" t="s">
        <v>2172</v>
      </c>
      <c r="B54" s="323" t="s">
        <v>110</v>
      </c>
      <c r="C54" s="323" t="str">
        <f>'Translate&amp;Prices&amp;Logo'!B555</f>
        <v>Vložený</v>
      </c>
      <c r="D54" s="316" t="str">
        <f t="shared" si="0"/>
        <v>široký_STRONG_Vložený</v>
      </c>
      <c r="E54" s="323" t="str">
        <f>'Translate&amp;Prices&amp;Logo'!$B$582</f>
        <v>s pružinou a tlumením</v>
      </c>
      <c r="F54" s="318" t="str">
        <f>'Translate&amp;Prices&amp;Logo'!$B$585</f>
        <v>stříbrná</v>
      </c>
      <c r="G54" s="318" t="str">
        <f t="shared" si="9"/>
        <v>92582T - Vložený s pružinou a tlumením - stříbrná</v>
      </c>
      <c r="H54" s="319" t="s">
        <v>2169</v>
      </c>
      <c r="I54" s="319" t="s">
        <v>116</v>
      </c>
      <c r="J54" s="319" t="s">
        <v>2169</v>
      </c>
      <c r="K54" s="319" t="s">
        <v>148</v>
      </c>
      <c r="L54" s="319" t="str">
        <f t="shared" si="2"/>
        <v>křížová vrut - 92592T</v>
      </c>
      <c r="M54" s="319">
        <v>397954</v>
      </c>
      <c r="N54" s="319" t="str">
        <f t="shared" si="3"/>
        <v>křížová vrut (excentr) - 397954</v>
      </c>
      <c r="O54" s="319" t="s">
        <v>146</v>
      </c>
      <c r="P54" s="319" t="str">
        <f t="shared" si="4"/>
        <v>křížová euro - 92593T</v>
      </c>
      <c r="Q54" s="319" t="s">
        <v>3382</v>
      </c>
      <c r="R54" s="319" t="str">
        <f t="shared" si="5"/>
        <v>křížová hmoždinka - N/A</v>
      </c>
      <c r="S54" s="319" t="s">
        <v>3382</v>
      </c>
      <c r="T54" s="319" t="str">
        <f t="shared" si="6"/>
        <v>přímá vrut - N/A</v>
      </c>
      <c r="U54" s="319" t="s">
        <v>3382</v>
      </c>
      <c r="V54" s="319" t="str">
        <f t="shared" si="7"/>
        <v>přímá euro - N/A</v>
      </c>
      <c r="W54" s="319" t="s">
        <v>3382</v>
      </c>
      <c r="X54" s="319" t="str">
        <f t="shared" si="8"/>
        <v>přímá hmoždinka - N/A</v>
      </c>
      <c r="Y54" s="318"/>
      <c r="Z54" s="318"/>
    </row>
    <row r="55" spans="1:26" ht="16.350000000000001" customHeight="1">
      <c r="A55" s="323" t="s">
        <v>2172</v>
      </c>
      <c r="B55" s="323" t="s">
        <v>110</v>
      </c>
      <c r="C55" s="323" t="str">
        <f>'Translate&amp;Prices&amp;Logo'!B555</f>
        <v>Vložený</v>
      </c>
      <c r="D55" s="316" t="str">
        <f t="shared" si="0"/>
        <v>široký_STRONG_Vložený</v>
      </c>
      <c r="E55" s="323" t="str">
        <f>'Translate&amp;Prices&amp;Logo'!$B$583</f>
        <v>s pružinou bez tlumení</v>
      </c>
      <c r="F55" s="318" t="str">
        <f>'Translate&amp;Prices&amp;Logo'!$B$585</f>
        <v>stříbrná</v>
      </c>
      <c r="G55" s="318" t="str">
        <f t="shared" si="9"/>
        <v>198820 - Vložený s pružinou bez tlumení - stříbrná</v>
      </c>
      <c r="H55" s="319" t="s">
        <v>2169</v>
      </c>
      <c r="I55" s="319">
        <v>198820</v>
      </c>
      <c r="J55" s="319" t="s">
        <v>2169</v>
      </c>
      <c r="K55" s="319" t="s">
        <v>148</v>
      </c>
      <c r="L55" s="319" t="str">
        <f t="shared" si="2"/>
        <v>křížová vrut - 92592T</v>
      </c>
      <c r="M55" s="319">
        <v>397954</v>
      </c>
      <c r="N55" s="319" t="str">
        <f t="shared" si="3"/>
        <v>křížová vrut (excentr) - 397954</v>
      </c>
      <c r="O55" s="319" t="s">
        <v>146</v>
      </c>
      <c r="P55" s="319" t="str">
        <f t="shared" si="4"/>
        <v>křížová euro - 92593T</v>
      </c>
      <c r="Q55" s="319" t="s">
        <v>3382</v>
      </c>
      <c r="R55" s="319" t="str">
        <f t="shared" si="5"/>
        <v>křížová hmoždinka - N/A</v>
      </c>
      <c r="S55" s="319" t="s">
        <v>3382</v>
      </c>
      <c r="T55" s="319" t="str">
        <f t="shared" si="6"/>
        <v>přímá vrut - N/A</v>
      </c>
      <c r="U55" s="319" t="s">
        <v>3382</v>
      </c>
      <c r="V55" s="319" t="str">
        <f t="shared" si="7"/>
        <v>přímá euro - N/A</v>
      </c>
      <c r="W55" s="319" t="s">
        <v>3382</v>
      </c>
      <c r="X55" s="319" t="str">
        <f t="shared" si="8"/>
        <v>přímá hmoždinka - N/A</v>
      </c>
      <c r="Y55" s="318"/>
      <c r="Z55" s="318"/>
    </row>
    <row r="56" spans="1:26" ht="16.350000000000001" customHeight="1">
      <c r="A56" s="318" t="s">
        <v>2172</v>
      </c>
      <c r="B56" s="318" t="s">
        <v>3726</v>
      </c>
      <c r="C56" s="318" t="str">
        <f>'Translate&amp;Prices&amp;Logo'!B553</f>
        <v>Naložený</v>
      </c>
      <c r="D56" s="316" t="str">
        <f t="shared" si="0"/>
        <v>široký_STRONGHINGES_Naložený</v>
      </c>
      <c r="E56" s="318" t="str">
        <f>'Translate&amp;Prices&amp;Logo'!$B$582</f>
        <v>s pružinou a tlumením</v>
      </c>
      <c r="F56" s="318" t="str">
        <f>'Translate&amp;Prices&amp;Logo'!$B$585</f>
        <v>stříbrná</v>
      </c>
      <c r="G56" s="318" t="str">
        <f t="shared" si="9"/>
        <v>350827 - Naložený s pružinou a tlumením - stříbrná</v>
      </c>
      <c r="H56" s="319" t="s">
        <v>2169</v>
      </c>
      <c r="I56" s="319">
        <v>350827</v>
      </c>
      <c r="J56" s="319" t="s">
        <v>2169</v>
      </c>
      <c r="K56" s="319">
        <v>92596</v>
      </c>
      <c r="L56" s="319" t="str">
        <f t="shared" si="2"/>
        <v>křížová vrut - 92596</v>
      </c>
      <c r="M56" s="319">
        <v>315856</v>
      </c>
      <c r="N56" s="319" t="str">
        <f t="shared" si="3"/>
        <v>křížová vrut (excentr) - 315856</v>
      </c>
      <c r="O56" s="319">
        <v>92597</v>
      </c>
      <c r="P56" s="319" t="str">
        <f t="shared" si="4"/>
        <v>křížová euro - 92597</v>
      </c>
      <c r="Q56" s="319" t="s">
        <v>3382</v>
      </c>
      <c r="R56" s="319" t="str">
        <f t="shared" si="5"/>
        <v>křížová hmoždinka - N/A</v>
      </c>
      <c r="S56" s="319" t="s">
        <v>3382</v>
      </c>
      <c r="T56" s="319" t="str">
        <f t="shared" si="6"/>
        <v>přímá vrut - N/A</v>
      </c>
      <c r="U56" s="319" t="s">
        <v>3382</v>
      </c>
      <c r="V56" s="319" t="str">
        <f t="shared" si="7"/>
        <v>přímá euro - N/A</v>
      </c>
      <c r="W56" s="319" t="s">
        <v>3382</v>
      </c>
      <c r="X56" s="319" t="str">
        <f t="shared" si="8"/>
        <v>přímá hmoždinka - N/A</v>
      </c>
      <c r="Y56" s="318"/>
      <c r="Z56" s="318"/>
    </row>
    <row r="57" spans="1:26" ht="16.350000000000001" customHeight="1">
      <c r="A57" s="318" t="s">
        <v>2172</v>
      </c>
      <c r="B57" s="318" t="s">
        <v>3726</v>
      </c>
      <c r="C57" s="318" t="str">
        <f>'Translate&amp;Prices&amp;Logo'!B553</f>
        <v>Naložený</v>
      </c>
      <c r="D57" s="316" t="str">
        <f t="shared" si="0"/>
        <v>široký_STRONGHINGES_Naložený</v>
      </c>
      <c r="E57" s="318" t="str">
        <f>'Translate&amp;Prices&amp;Logo'!$B$583</f>
        <v>s pružinou bez tlumení</v>
      </c>
      <c r="F57" s="318" t="str">
        <f>'Translate&amp;Prices&amp;Logo'!$B$585</f>
        <v>stříbrná</v>
      </c>
      <c r="G57" s="318" t="str">
        <f t="shared" si="9"/>
        <v>350834 - Naložený s pružinou bez tlumení - stříbrná</v>
      </c>
      <c r="H57" s="319" t="s">
        <v>2169</v>
      </c>
      <c r="I57" s="319">
        <v>350834</v>
      </c>
      <c r="J57" s="319" t="s">
        <v>2169</v>
      </c>
      <c r="K57" s="319">
        <v>92596</v>
      </c>
      <c r="L57" s="319" t="str">
        <f t="shared" si="2"/>
        <v>křížová vrut - 92596</v>
      </c>
      <c r="M57" s="319">
        <v>315856</v>
      </c>
      <c r="N57" s="319" t="str">
        <f t="shared" si="3"/>
        <v>křížová vrut (excentr) - 315856</v>
      </c>
      <c r="O57" s="319">
        <v>92597</v>
      </c>
      <c r="P57" s="319" t="str">
        <f t="shared" si="4"/>
        <v>křížová euro - 92597</v>
      </c>
      <c r="Q57" s="319" t="s">
        <v>3382</v>
      </c>
      <c r="R57" s="319" t="str">
        <f t="shared" si="5"/>
        <v>křížová hmoždinka - N/A</v>
      </c>
      <c r="S57" s="319" t="s">
        <v>3382</v>
      </c>
      <c r="T57" s="319" t="str">
        <f t="shared" si="6"/>
        <v>přímá vrut - N/A</v>
      </c>
      <c r="U57" s="319" t="s">
        <v>3382</v>
      </c>
      <c r="V57" s="319" t="str">
        <f t="shared" si="7"/>
        <v>přímá euro - N/A</v>
      </c>
      <c r="W57" s="319" t="s">
        <v>3382</v>
      </c>
      <c r="X57" s="319" t="str">
        <f t="shared" si="8"/>
        <v>přímá hmoždinka - N/A</v>
      </c>
      <c r="Y57" s="318"/>
      <c r="Z57" s="318"/>
    </row>
    <row r="58" spans="1:26" ht="16.350000000000001" customHeight="1">
      <c r="A58" s="318" t="s">
        <v>2172</v>
      </c>
      <c r="B58" s="318" t="s">
        <v>3726</v>
      </c>
      <c r="C58" s="318" t="str">
        <f>'Translate&amp;Prices&amp;Logo'!B553</f>
        <v>Naložený</v>
      </c>
      <c r="D58" s="316" t="str">
        <f t="shared" si="0"/>
        <v>široký_STRONGHINGES_Naložený</v>
      </c>
      <c r="E58" s="318" t="str">
        <f>'Translate&amp;Prices&amp;Logo'!$B$584</f>
        <v>tip-on bez pružiny/tlumení</v>
      </c>
      <c r="F58" s="318" t="str">
        <f>'Translate&amp;Prices&amp;Logo'!$B$585</f>
        <v>stříbrná</v>
      </c>
      <c r="G58" s="318" t="str">
        <f t="shared" si="9"/>
        <v>350837 - Naložený tip-on bez pružiny/tlumení - stříbrná</v>
      </c>
      <c r="H58" s="319" t="s">
        <v>2169</v>
      </c>
      <c r="I58" s="319">
        <v>350837</v>
      </c>
      <c r="J58" s="319" t="s">
        <v>2169</v>
      </c>
      <c r="K58" s="319">
        <v>92596</v>
      </c>
      <c r="L58" s="319" t="str">
        <f t="shared" si="2"/>
        <v>křížová vrut - 92596</v>
      </c>
      <c r="M58" s="319">
        <v>315856</v>
      </c>
      <c r="N58" s="319" t="str">
        <f t="shared" si="3"/>
        <v>křížová vrut (excentr) - 315856</v>
      </c>
      <c r="O58" s="319">
        <v>92597</v>
      </c>
      <c r="P58" s="319" t="str">
        <f t="shared" si="4"/>
        <v>křížová euro - 92597</v>
      </c>
      <c r="Q58" s="319" t="s">
        <v>3382</v>
      </c>
      <c r="R58" s="319" t="str">
        <f t="shared" si="5"/>
        <v>křížová hmoždinka - N/A</v>
      </c>
      <c r="S58" s="319" t="s">
        <v>3382</v>
      </c>
      <c r="T58" s="319" t="str">
        <f t="shared" si="6"/>
        <v>přímá vrut - N/A</v>
      </c>
      <c r="U58" s="319" t="s">
        <v>3382</v>
      </c>
      <c r="V58" s="319" t="str">
        <f t="shared" si="7"/>
        <v>přímá euro - N/A</v>
      </c>
      <c r="W58" s="319" t="s">
        <v>3382</v>
      </c>
      <c r="X58" s="319" t="str">
        <f t="shared" si="8"/>
        <v>přímá hmoždinka - N/A</v>
      </c>
      <c r="Y58" s="318"/>
      <c r="Z58" s="318"/>
    </row>
    <row r="59" spans="1:26" ht="16.350000000000001" customHeight="1">
      <c r="A59" s="323" t="s">
        <v>2172</v>
      </c>
      <c r="B59" s="318" t="s">
        <v>3726</v>
      </c>
      <c r="C59" s="323" t="str">
        <f>'Translate&amp;Prices&amp;Logo'!B554</f>
        <v>Polonaložený</v>
      </c>
      <c r="D59" s="316" t="str">
        <f t="shared" si="0"/>
        <v>široký_STRONGHINGES_Polonaložený</v>
      </c>
      <c r="E59" s="323" t="str">
        <f>'Translate&amp;Prices&amp;Logo'!$B$582</f>
        <v>s pružinou a tlumením</v>
      </c>
      <c r="F59" s="318" t="str">
        <f>'Translate&amp;Prices&amp;Logo'!$B$585</f>
        <v>stříbrná</v>
      </c>
      <c r="G59" s="318" t="str">
        <f t="shared" si="9"/>
        <v>350828 - Polonaložený s pružinou a tlumením - stříbrná</v>
      </c>
      <c r="H59" s="319" t="s">
        <v>2169</v>
      </c>
      <c r="I59" s="319">
        <v>350828</v>
      </c>
      <c r="J59" s="319" t="s">
        <v>2169</v>
      </c>
      <c r="K59" s="319">
        <v>92596</v>
      </c>
      <c r="L59" s="319" t="str">
        <f t="shared" si="2"/>
        <v>křížová vrut - 92596</v>
      </c>
      <c r="M59" s="319">
        <v>315856</v>
      </c>
      <c r="N59" s="319" t="str">
        <f t="shared" si="3"/>
        <v>křížová vrut (excentr) - 315856</v>
      </c>
      <c r="O59" s="319">
        <v>92597</v>
      </c>
      <c r="P59" s="319" t="str">
        <f t="shared" si="4"/>
        <v>křížová euro - 92597</v>
      </c>
      <c r="Q59" s="319" t="s">
        <v>3382</v>
      </c>
      <c r="R59" s="319" t="str">
        <f t="shared" si="5"/>
        <v>křížová hmoždinka - N/A</v>
      </c>
      <c r="S59" s="319" t="s">
        <v>3382</v>
      </c>
      <c r="T59" s="319" t="str">
        <f t="shared" si="6"/>
        <v>přímá vrut - N/A</v>
      </c>
      <c r="U59" s="319" t="s">
        <v>3382</v>
      </c>
      <c r="V59" s="319" t="str">
        <f t="shared" si="7"/>
        <v>přímá euro - N/A</v>
      </c>
      <c r="W59" s="319" t="s">
        <v>3382</v>
      </c>
      <c r="X59" s="319" t="str">
        <f t="shared" si="8"/>
        <v>přímá hmoždinka - N/A</v>
      </c>
      <c r="Y59" s="318"/>
      <c r="Z59" s="318"/>
    </row>
    <row r="60" spans="1:26" ht="16.350000000000001" customHeight="1">
      <c r="A60" s="323" t="s">
        <v>2172</v>
      </c>
      <c r="B60" s="318" t="s">
        <v>3726</v>
      </c>
      <c r="C60" s="323" t="str">
        <f>'Translate&amp;Prices&amp;Logo'!B554</f>
        <v>Polonaložený</v>
      </c>
      <c r="D60" s="316" t="str">
        <f t="shared" si="0"/>
        <v>široký_STRONGHINGES_Polonaložený</v>
      </c>
      <c r="E60" s="323" t="str">
        <f>'Translate&amp;Prices&amp;Logo'!$B$583</f>
        <v>s pružinou bez tlumení</v>
      </c>
      <c r="F60" s="318" t="str">
        <f>'Translate&amp;Prices&amp;Logo'!$B$585</f>
        <v>stříbrná</v>
      </c>
      <c r="G60" s="318" t="str">
        <f t="shared" si="9"/>
        <v>350835 - Polonaložený s pružinou bez tlumení - stříbrná</v>
      </c>
      <c r="H60" s="319" t="s">
        <v>2169</v>
      </c>
      <c r="I60" s="319">
        <v>350835</v>
      </c>
      <c r="J60" s="319" t="s">
        <v>2169</v>
      </c>
      <c r="K60" s="319">
        <v>92596</v>
      </c>
      <c r="L60" s="319" t="str">
        <f t="shared" si="2"/>
        <v>křížová vrut - 92596</v>
      </c>
      <c r="M60" s="319">
        <v>315856</v>
      </c>
      <c r="N60" s="319" t="str">
        <f t="shared" si="3"/>
        <v>křížová vrut (excentr) - 315856</v>
      </c>
      <c r="O60" s="319">
        <v>92597</v>
      </c>
      <c r="P60" s="319" t="str">
        <f t="shared" si="4"/>
        <v>křížová euro - 92597</v>
      </c>
      <c r="Q60" s="319" t="s">
        <v>3382</v>
      </c>
      <c r="R60" s="319" t="str">
        <f t="shared" si="5"/>
        <v>křížová hmoždinka - N/A</v>
      </c>
      <c r="S60" s="319" t="s">
        <v>3382</v>
      </c>
      <c r="T60" s="319" t="str">
        <f t="shared" si="6"/>
        <v>přímá vrut - N/A</v>
      </c>
      <c r="U60" s="319" t="s">
        <v>3382</v>
      </c>
      <c r="V60" s="319" t="str">
        <f t="shared" si="7"/>
        <v>přímá euro - N/A</v>
      </c>
      <c r="W60" s="319" t="s">
        <v>3382</v>
      </c>
      <c r="X60" s="319" t="str">
        <f t="shared" si="8"/>
        <v>přímá hmoždinka - N/A</v>
      </c>
      <c r="Y60" s="318"/>
      <c r="Z60" s="318"/>
    </row>
    <row r="61" spans="1:26" ht="16.350000000000001" customHeight="1">
      <c r="A61" s="323" t="s">
        <v>2172</v>
      </c>
      <c r="B61" s="318" t="s">
        <v>3726</v>
      </c>
      <c r="C61" s="323" t="str">
        <f>'Translate&amp;Prices&amp;Logo'!B554</f>
        <v>Polonaložený</v>
      </c>
      <c r="D61" s="316" t="str">
        <f t="shared" si="0"/>
        <v>široký_STRONGHINGES_Polonaložený</v>
      </c>
      <c r="E61" s="323" t="str">
        <f>'Translate&amp;Prices&amp;Logo'!$B$584</f>
        <v>tip-on bez pružiny/tlumení</v>
      </c>
      <c r="F61" s="318" t="str">
        <f>'Translate&amp;Prices&amp;Logo'!$B$585</f>
        <v>stříbrná</v>
      </c>
      <c r="G61" s="318" t="str">
        <f t="shared" si="9"/>
        <v>350838 - Polonaložený tip-on bez pružiny/tlumení - stříbrná</v>
      </c>
      <c r="H61" s="319" t="s">
        <v>2169</v>
      </c>
      <c r="I61" s="319">
        <v>350838</v>
      </c>
      <c r="J61" s="319" t="s">
        <v>2169</v>
      </c>
      <c r="K61" s="319">
        <v>92596</v>
      </c>
      <c r="L61" s="319" t="str">
        <f t="shared" si="2"/>
        <v>křížová vrut - 92596</v>
      </c>
      <c r="M61" s="319">
        <v>315856</v>
      </c>
      <c r="N61" s="319" t="str">
        <f t="shared" si="3"/>
        <v>křížová vrut (excentr) - 315856</v>
      </c>
      <c r="O61" s="319">
        <v>92597</v>
      </c>
      <c r="P61" s="319" t="str">
        <f t="shared" si="4"/>
        <v>křížová euro - 92597</v>
      </c>
      <c r="Q61" s="319" t="s">
        <v>3382</v>
      </c>
      <c r="R61" s="319" t="str">
        <f t="shared" si="5"/>
        <v>křížová hmoždinka - N/A</v>
      </c>
      <c r="S61" s="319" t="s">
        <v>3382</v>
      </c>
      <c r="T61" s="319" t="str">
        <f t="shared" si="6"/>
        <v>přímá vrut - N/A</v>
      </c>
      <c r="U61" s="319" t="s">
        <v>3382</v>
      </c>
      <c r="V61" s="319" t="str">
        <f t="shared" si="7"/>
        <v>přímá euro - N/A</v>
      </c>
      <c r="W61" s="319" t="s">
        <v>3382</v>
      </c>
      <c r="X61" s="319" t="str">
        <f t="shared" si="8"/>
        <v>přímá hmoždinka - N/A</v>
      </c>
      <c r="Y61" s="318"/>
      <c r="Z61" s="318"/>
    </row>
    <row r="62" spans="1:26" ht="16.350000000000001" customHeight="1">
      <c r="A62" s="318" t="s">
        <v>2172</v>
      </c>
      <c r="B62" s="318" t="s">
        <v>3726</v>
      </c>
      <c r="C62" s="318" t="str">
        <f>'Translate&amp;Prices&amp;Logo'!B555</f>
        <v>Vložený</v>
      </c>
      <c r="D62" s="316" t="str">
        <f t="shared" si="0"/>
        <v>široký_STRONGHINGES_Vložený</v>
      </c>
      <c r="E62" s="318" t="str">
        <f>'Translate&amp;Prices&amp;Logo'!$B$582</f>
        <v>s pružinou a tlumením</v>
      </c>
      <c r="F62" s="318" t="str">
        <f>'Translate&amp;Prices&amp;Logo'!$B$585</f>
        <v>stříbrná</v>
      </c>
      <c r="G62" s="318" t="str">
        <f t="shared" si="9"/>
        <v>350829 - Vložený s pružinou a tlumením - stříbrná</v>
      </c>
      <c r="H62" s="319" t="s">
        <v>2169</v>
      </c>
      <c r="I62" s="319">
        <v>350829</v>
      </c>
      <c r="J62" s="319" t="s">
        <v>2169</v>
      </c>
      <c r="K62" s="319">
        <v>92598</v>
      </c>
      <c r="L62" s="319" t="str">
        <f t="shared" si="2"/>
        <v>křížová vrut - 92598</v>
      </c>
      <c r="M62" s="319">
        <v>350868</v>
      </c>
      <c r="N62" s="319" t="str">
        <f t="shared" si="3"/>
        <v>křížová vrut (excentr) - 350868</v>
      </c>
      <c r="O62" s="319">
        <v>92599</v>
      </c>
      <c r="P62" s="319" t="str">
        <f t="shared" si="4"/>
        <v>křížová euro - 92599</v>
      </c>
      <c r="Q62" s="319" t="s">
        <v>3382</v>
      </c>
      <c r="R62" s="319" t="str">
        <f t="shared" si="5"/>
        <v>křížová hmoždinka - N/A</v>
      </c>
      <c r="S62" s="319" t="s">
        <v>3382</v>
      </c>
      <c r="T62" s="319" t="str">
        <f t="shared" si="6"/>
        <v>přímá vrut - N/A</v>
      </c>
      <c r="U62" s="319" t="s">
        <v>3382</v>
      </c>
      <c r="V62" s="319" t="str">
        <f t="shared" si="7"/>
        <v>přímá euro - N/A</v>
      </c>
      <c r="W62" s="319" t="s">
        <v>3382</v>
      </c>
      <c r="X62" s="319" t="str">
        <f t="shared" si="8"/>
        <v>přímá hmoždinka - N/A</v>
      </c>
      <c r="Y62" s="318"/>
      <c r="Z62" s="318"/>
    </row>
    <row r="63" spans="1:26" ht="16.350000000000001" customHeight="1">
      <c r="A63" s="318" t="s">
        <v>2172</v>
      </c>
      <c r="B63" s="318" t="s">
        <v>3726</v>
      </c>
      <c r="C63" s="318" t="str">
        <f>'Translate&amp;Prices&amp;Logo'!B555</f>
        <v>Vložený</v>
      </c>
      <c r="D63" s="316" t="str">
        <f t="shared" si="0"/>
        <v>široký_STRONGHINGES_Vložený</v>
      </c>
      <c r="E63" s="318" t="str">
        <f>'Translate&amp;Prices&amp;Logo'!$B$583</f>
        <v>s pružinou bez tlumení</v>
      </c>
      <c r="F63" s="318" t="str">
        <f>'Translate&amp;Prices&amp;Logo'!$B$585</f>
        <v>stříbrná</v>
      </c>
      <c r="G63" s="318" t="str">
        <f t="shared" si="9"/>
        <v>350836 - Vložený s pružinou bez tlumení - stříbrná</v>
      </c>
      <c r="H63" s="319" t="s">
        <v>2169</v>
      </c>
      <c r="I63" s="319">
        <v>350836</v>
      </c>
      <c r="J63" s="319" t="s">
        <v>2169</v>
      </c>
      <c r="K63" s="319">
        <v>92598</v>
      </c>
      <c r="L63" s="319" t="str">
        <f t="shared" si="2"/>
        <v>křížová vrut - 92598</v>
      </c>
      <c r="M63" s="319">
        <v>350868</v>
      </c>
      <c r="N63" s="319" t="str">
        <f t="shared" si="3"/>
        <v>křížová vrut (excentr) - 350868</v>
      </c>
      <c r="O63" s="319">
        <v>92599</v>
      </c>
      <c r="P63" s="319" t="str">
        <f t="shared" si="4"/>
        <v>křížová euro - 92599</v>
      </c>
      <c r="Q63" s="319" t="s">
        <v>3382</v>
      </c>
      <c r="R63" s="319" t="str">
        <f t="shared" si="5"/>
        <v>křížová hmoždinka - N/A</v>
      </c>
      <c r="S63" s="319" t="s">
        <v>3382</v>
      </c>
      <c r="T63" s="319" t="str">
        <f t="shared" si="6"/>
        <v>přímá vrut - N/A</v>
      </c>
      <c r="U63" s="319" t="s">
        <v>3382</v>
      </c>
      <c r="V63" s="319" t="str">
        <f t="shared" si="7"/>
        <v>přímá euro - N/A</v>
      </c>
      <c r="W63" s="319" t="s">
        <v>3382</v>
      </c>
      <c r="X63" s="319" t="str">
        <f t="shared" si="8"/>
        <v>přímá hmoždinka - N/A</v>
      </c>
      <c r="Y63" s="318"/>
      <c r="Z63" s="318"/>
    </row>
    <row r="64" spans="1:26" ht="16.350000000000001" customHeight="1">
      <c r="A64" s="318" t="s">
        <v>2172</v>
      </c>
      <c r="B64" s="318" t="s">
        <v>3726</v>
      </c>
      <c r="C64" s="318" t="str">
        <f>'Translate&amp;Prices&amp;Logo'!B555</f>
        <v>Vložený</v>
      </c>
      <c r="D64" s="316" t="str">
        <f t="shared" si="0"/>
        <v>široký_STRONGHINGES_Vložený</v>
      </c>
      <c r="E64" s="318" t="str">
        <f>'Translate&amp;Prices&amp;Logo'!$B$584</f>
        <v>tip-on bez pružiny/tlumení</v>
      </c>
      <c r="F64" s="318" t="str">
        <f>'Translate&amp;Prices&amp;Logo'!$B$585</f>
        <v>stříbrná</v>
      </c>
      <c r="G64" s="318" t="str">
        <f t="shared" si="9"/>
        <v>350839 - Vložený tip-on bez pružiny/tlumení - stříbrná</v>
      </c>
      <c r="H64" s="319" t="s">
        <v>2169</v>
      </c>
      <c r="I64" s="319">
        <v>350839</v>
      </c>
      <c r="J64" s="319" t="s">
        <v>2169</v>
      </c>
      <c r="K64" s="319">
        <v>92598</v>
      </c>
      <c r="L64" s="319" t="str">
        <f t="shared" si="2"/>
        <v>křížová vrut - 92598</v>
      </c>
      <c r="M64" s="319">
        <v>350868</v>
      </c>
      <c r="N64" s="319" t="str">
        <f t="shared" si="3"/>
        <v>křížová vrut (excentr) - 350868</v>
      </c>
      <c r="O64" s="319">
        <v>92599</v>
      </c>
      <c r="P64" s="319" t="str">
        <f t="shared" si="4"/>
        <v>křížová euro - 92599</v>
      </c>
      <c r="Q64" s="319" t="s">
        <v>3382</v>
      </c>
      <c r="R64" s="319" t="str">
        <f t="shared" si="5"/>
        <v>křížová hmoždinka - N/A</v>
      </c>
      <c r="S64" s="319" t="s">
        <v>3382</v>
      </c>
      <c r="T64" s="319" t="str">
        <f t="shared" si="6"/>
        <v>přímá vrut - N/A</v>
      </c>
      <c r="U64" s="319" t="s">
        <v>3382</v>
      </c>
      <c r="V64" s="319" t="str">
        <f t="shared" si="7"/>
        <v>přímá euro - N/A</v>
      </c>
      <c r="W64" s="319" t="s">
        <v>3382</v>
      </c>
      <c r="X64" s="319" t="str">
        <f t="shared" si="8"/>
        <v>přímá hmoždinka - N/A</v>
      </c>
      <c r="Y64" s="318"/>
      <c r="Z64" s="318"/>
    </row>
    <row r="65" spans="1:26" ht="16.350000000000001" customHeight="1">
      <c r="X65" s="318"/>
      <c r="Y65" s="318"/>
      <c r="Z65" s="318"/>
    </row>
    <row r="67" spans="1:26" ht="16.350000000000001" customHeight="1">
      <c r="A67" s="323" t="s">
        <v>2253</v>
      </c>
      <c r="B67" s="323" t="s">
        <v>2253</v>
      </c>
      <c r="C67" s="318" t="s">
        <v>363</v>
      </c>
    </row>
    <row r="68" spans="1:26" ht="16.350000000000001" customHeight="1">
      <c r="A68" s="323" t="s">
        <v>2253</v>
      </c>
      <c r="B68" s="323" t="s">
        <v>2253</v>
      </c>
      <c r="C68" s="318" t="s">
        <v>363</v>
      </c>
    </row>
    <row r="69" spans="1:26" ht="16.350000000000001" customHeight="1">
      <c r="A69" s="323" t="s">
        <v>2253</v>
      </c>
      <c r="B69" s="323" t="s">
        <v>2253</v>
      </c>
      <c r="C69" s="318" t="s">
        <v>363</v>
      </c>
    </row>
    <row r="70" spans="1:26" ht="16.350000000000001" customHeight="1">
      <c r="A70" s="323" t="s">
        <v>2253</v>
      </c>
      <c r="B70" s="323" t="s">
        <v>2253</v>
      </c>
      <c r="C70" s="318" t="s">
        <v>363</v>
      </c>
    </row>
    <row r="71" spans="1:26" ht="16.350000000000001" customHeight="1">
      <c r="A71" s="323" t="s">
        <v>2254</v>
      </c>
      <c r="B71" s="323" t="s">
        <v>2254</v>
      </c>
      <c r="C71" s="318" t="s">
        <v>363</v>
      </c>
    </row>
    <row r="72" spans="1:26" ht="16.350000000000001" customHeight="1">
      <c r="A72" s="323" t="s">
        <v>2254</v>
      </c>
      <c r="B72" s="323" t="s">
        <v>2254</v>
      </c>
      <c r="C72" s="318" t="s">
        <v>363</v>
      </c>
    </row>
    <row r="73" spans="1:26" ht="16.350000000000001" customHeight="1">
      <c r="A73" s="323" t="s">
        <v>2255</v>
      </c>
      <c r="B73" s="323" t="s">
        <v>2255</v>
      </c>
      <c r="C73" s="318" t="s">
        <v>363</v>
      </c>
    </row>
    <row r="74" spans="1:26" ht="16.350000000000001" customHeight="1">
      <c r="A74" s="323" t="s">
        <v>2255</v>
      </c>
      <c r="B74" s="323" t="s">
        <v>2255</v>
      </c>
      <c r="C74" s="318" t="s">
        <v>363</v>
      </c>
    </row>
    <row r="75" spans="1:26" ht="16.350000000000001" customHeight="1">
      <c r="A75" s="323" t="s">
        <v>2256</v>
      </c>
      <c r="B75" s="323" t="s">
        <v>2256</v>
      </c>
      <c r="C75" s="318" t="s">
        <v>363</v>
      </c>
    </row>
    <row r="76" spans="1:26" ht="16.350000000000001" customHeight="1">
      <c r="A76" s="323" t="s">
        <v>2256</v>
      </c>
      <c r="B76" s="323" t="s">
        <v>2256</v>
      </c>
      <c r="C76" s="318" t="s">
        <v>363</v>
      </c>
    </row>
    <row r="77" spans="1:26" ht="16.350000000000001" customHeight="1">
      <c r="A77" s="323" t="s">
        <v>2256</v>
      </c>
      <c r="B77" s="323" t="s">
        <v>2256</v>
      </c>
      <c r="C77" s="318" t="s">
        <v>363</v>
      </c>
    </row>
    <row r="78" spans="1:26" ht="16.350000000000001" customHeight="1">
      <c r="A78" s="323" t="s">
        <v>2256</v>
      </c>
      <c r="B78" s="323" t="s">
        <v>2256</v>
      </c>
      <c r="C78" s="318" t="s">
        <v>363</v>
      </c>
    </row>
    <row r="79" spans="1:26" ht="16.350000000000001" customHeight="1">
      <c r="A79" s="323" t="s">
        <v>2257</v>
      </c>
      <c r="B79" s="323" t="s">
        <v>2257</v>
      </c>
      <c r="C79" s="318" t="s">
        <v>363</v>
      </c>
      <c r="G79" s="318" t="s">
        <v>3437</v>
      </c>
    </row>
    <row r="80" spans="1:26" ht="16.350000000000001" customHeight="1">
      <c r="A80" s="323" t="s">
        <v>2257</v>
      </c>
      <c r="B80" s="323" t="s">
        <v>2257</v>
      </c>
      <c r="C80" s="318" t="s">
        <v>363</v>
      </c>
    </row>
    <row r="81" spans="1:3" ht="16.350000000000001" customHeight="1">
      <c r="A81" s="323" t="s">
        <v>2257</v>
      </c>
      <c r="B81" s="323" t="s">
        <v>2257</v>
      </c>
      <c r="C81" s="318" t="s">
        <v>363</v>
      </c>
    </row>
    <row r="82" spans="1:3" ht="16.350000000000001" customHeight="1">
      <c r="A82" s="323" t="s">
        <v>2258</v>
      </c>
      <c r="B82" s="323" t="s">
        <v>2258</v>
      </c>
      <c r="C82" s="318" t="s">
        <v>363</v>
      </c>
    </row>
    <row r="83" spans="1:3" ht="16.350000000000001" customHeight="1">
      <c r="A83" s="323" t="s">
        <v>2258</v>
      </c>
      <c r="B83" s="323" t="s">
        <v>2258</v>
      </c>
      <c r="C83" s="318" t="s">
        <v>363</v>
      </c>
    </row>
    <row r="84" spans="1:3" ht="16.350000000000001" customHeight="1">
      <c r="A84" s="323" t="s">
        <v>2258</v>
      </c>
      <c r="B84" s="323" t="s">
        <v>2258</v>
      </c>
      <c r="C84" s="318" t="s">
        <v>363</v>
      </c>
    </row>
    <row r="85" spans="1:3" ht="16.350000000000001" customHeight="1">
      <c r="A85" s="323" t="s">
        <v>2259</v>
      </c>
      <c r="B85" s="323" t="s">
        <v>2259</v>
      </c>
      <c r="C85" s="318" t="s">
        <v>363</v>
      </c>
    </row>
    <row r="86" spans="1:3" ht="16.350000000000001" customHeight="1">
      <c r="A86" s="323" t="s">
        <v>3727</v>
      </c>
      <c r="B86" s="323" t="s">
        <v>3727</v>
      </c>
      <c r="C86" s="318" t="s">
        <v>363</v>
      </c>
    </row>
    <row r="87" spans="1:3" ht="16.350000000000001" customHeight="1">
      <c r="A87" s="323" t="s">
        <v>3727</v>
      </c>
      <c r="B87" s="323" t="s">
        <v>3727</v>
      </c>
      <c r="C87" s="318" t="s">
        <v>363</v>
      </c>
    </row>
    <row r="88" spans="1:3" ht="16.350000000000001" customHeight="1">
      <c r="A88" s="323" t="s">
        <v>2261</v>
      </c>
      <c r="B88" s="323" t="s">
        <v>2261</v>
      </c>
      <c r="C88" s="318" t="s">
        <v>363</v>
      </c>
    </row>
    <row r="89" spans="1:3" ht="16.350000000000001" customHeight="1">
      <c r="A89" s="323" t="s">
        <v>2261</v>
      </c>
      <c r="B89" s="323" t="s">
        <v>2261</v>
      </c>
      <c r="C89" s="318" t="s">
        <v>363</v>
      </c>
    </row>
    <row r="90" spans="1:3" ht="16.350000000000001" customHeight="1">
      <c r="A90" s="323" t="s">
        <v>2261</v>
      </c>
      <c r="B90" s="323" t="s">
        <v>2261</v>
      </c>
      <c r="C90" s="318" t="s">
        <v>363</v>
      </c>
    </row>
    <row r="91" spans="1:3" ht="16.350000000000001" customHeight="1">
      <c r="A91" s="323" t="s">
        <v>2261</v>
      </c>
      <c r="B91" s="323" t="s">
        <v>2261</v>
      </c>
      <c r="C91" s="318" t="s">
        <v>363</v>
      </c>
    </row>
    <row r="92" spans="1:3" ht="16.350000000000001" customHeight="1">
      <c r="A92" s="323" t="s">
        <v>2262</v>
      </c>
      <c r="B92" s="323" t="s">
        <v>2262</v>
      </c>
      <c r="C92" s="318" t="s">
        <v>363</v>
      </c>
    </row>
    <row r="93" spans="1:3" ht="16.350000000000001" customHeight="1">
      <c r="A93" s="323" t="s">
        <v>2262</v>
      </c>
      <c r="B93" s="323" t="s">
        <v>2262</v>
      </c>
      <c r="C93" s="318" t="s">
        <v>363</v>
      </c>
    </row>
    <row r="94" spans="1:3" ht="16.350000000000001" customHeight="1">
      <c r="A94" s="323" t="s">
        <v>2262</v>
      </c>
      <c r="B94" s="323" t="s">
        <v>2262</v>
      </c>
      <c r="C94" s="318" t="s">
        <v>363</v>
      </c>
    </row>
    <row r="95" spans="1:3" ht="16.350000000000001" customHeight="1">
      <c r="A95" s="323" t="s">
        <v>2262</v>
      </c>
      <c r="B95" s="323" t="s">
        <v>2262</v>
      </c>
      <c r="C95" s="318" t="s">
        <v>363</v>
      </c>
    </row>
    <row r="96" spans="1:3" ht="16.350000000000001" customHeight="1">
      <c r="A96" s="323" t="s">
        <v>2263</v>
      </c>
      <c r="B96" s="323" t="s">
        <v>2263</v>
      </c>
      <c r="C96" s="318" t="s">
        <v>363</v>
      </c>
    </row>
    <row r="97" spans="1:3" ht="16.350000000000001" customHeight="1">
      <c r="A97" s="323" t="s">
        <v>2263</v>
      </c>
      <c r="B97" s="323" t="s">
        <v>2263</v>
      </c>
      <c r="C97" s="318" t="s">
        <v>363</v>
      </c>
    </row>
    <row r="98" spans="1:3" ht="16.350000000000001" customHeight="1">
      <c r="A98" s="323" t="s">
        <v>2263</v>
      </c>
      <c r="B98" s="323" t="s">
        <v>2263</v>
      </c>
      <c r="C98" s="318" t="s">
        <v>363</v>
      </c>
    </row>
    <row r="99" spans="1:3" ht="16.350000000000001" customHeight="1">
      <c r="A99" s="323" t="s">
        <v>2263</v>
      </c>
      <c r="B99" s="323" t="s">
        <v>2263</v>
      </c>
      <c r="C99" s="318" t="s">
        <v>363</v>
      </c>
    </row>
    <row r="100" spans="1:3" ht="16.350000000000001" customHeight="1">
      <c r="A100" s="323" t="s">
        <v>2264</v>
      </c>
      <c r="B100" s="323" t="s">
        <v>2264</v>
      </c>
      <c r="C100" s="318" t="s">
        <v>363</v>
      </c>
    </row>
    <row r="101" spans="1:3" ht="16.350000000000001" customHeight="1">
      <c r="A101" s="323" t="s">
        <v>2264</v>
      </c>
      <c r="B101" s="323" t="s">
        <v>2264</v>
      </c>
      <c r="C101" s="318" t="s">
        <v>363</v>
      </c>
    </row>
    <row r="102" spans="1:3" ht="16.350000000000001" customHeight="1">
      <c r="A102" s="323" t="s">
        <v>2264</v>
      </c>
      <c r="B102" s="323" t="s">
        <v>2264</v>
      </c>
      <c r="C102" s="318" t="s">
        <v>363</v>
      </c>
    </row>
    <row r="103" spans="1:3" ht="16.350000000000001" customHeight="1">
      <c r="A103" s="323" t="s">
        <v>2264</v>
      </c>
      <c r="B103" s="323" t="s">
        <v>2264</v>
      </c>
      <c r="C103" s="318" t="s">
        <v>363</v>
      </c>
    </row>
    <row r="104" spans="1:3" ht="16.350000000000001" customHeight="1">
      <c r="A104" s="323" t="s">
        <v>2264</v>
      </c>
      <c r="B104" s="323" t="s">
        <v>2264</v>
      </c>
      <c r="C104" s="318" t="s">
        <v>363</v>
      </c>
    </row>
    <row r="105" spans="1:3" ht="16.350000000000001" customHeight="1">
      <c r="A105" s="323" t="s">
        <v>2265</v>
      </c>
      <c r="B105" s="323" t="s">
        <v>2265</v>
      </c>
      <c r="C105" s="318" t="s">
        <v>363</v>
      </c>
    </row>
    <row r="106" spans="1:3" ht="16.350000000000001" customHeight="1">
      <c r="A106" s="323" t="s">
        <v>2265</v>
      </c>
      <c r="B106" s="323" t="s">
        <v>2265</v>
      </c>
      <c r="C106" s="318" t="s">
        <v>363</v>
      </c>
    </row>
    <row r="107" spans="1:3" ht="16.350000000000001" customHeight="1">
      <c r="A107" s="323" t="s">
        <v>2265</v>
      </c>
      <c r="B107" s="323" t="s">
        <v>2265</v>
      </c>
      <c r="C107" s="318" t="s">
        <v>363</v>
      </c>
    </row>
    <row r="108" spans="1:3" ht="16.350000000000001" customHeight="1">
      <c r="A108" s="323" t="s">
        <v>2265</v>
      </c>
      <c r="B108" s="323" t="s">
        <v>2265</v>
      </c>
      <c r="C108" s="318" t="s">
        <v>363</v>
      </c>
    </row>
    <row r="109" spans="1:3" ht="16.350000000000001" customHeight="1">
      <c r="A109" s="323" t="s">
        <v>2265</v>
      </c>
      <c r="B109" s="323" t="s">
        <v>2265</v>
      </c>
      <c r="C109" s="318" t="s">
        <v>363</v>
      </c>
    </row>
    <row r="110" spans="1:3" ht="16.350000000000001" customHeight="1">
      <c r="A110" s="323" t="s">
        <v>2266</v>
      </c>
      <c r="B110" s="323" t="s">
        <v>2266</v>
      </c>
      <c r="C110" s="318" t="s">
        <v>363</v>
      </c>
    </row>
    <row r="111" spans="1:3" ht="16.350000000000001" customHeight="1">
      <c r="A111" s="323" t="s">
        <v>2266</v>
      </c>
      <c r="B111" s="323" t="s">
        <v>2266</v>
      </c>
      <c r="C111" s="318" t="s">
        <v>363</v>
      </c>
    </row>
    <row r="112" spans="1:3" ht="16.350000000000001" customHeight="1">
      <c r="A112" s="323" t="s">
        <v>2266</v>
      </c>
      <c r="B112" s="323" t="s">
        <v>2266</v>
      </c>
      <c r="C112" s="318" t="s">
        <v>363</v>
      </c>
    </row>
    <row r="113" spans="1:3" ht="16.350000000000001" customHeight="1">
      <c r="A113" s="323" t="s">
        <v>2266</v>
      </c>
      <c r="B113" s="323" t="s">
        <v>2266</v>
      </c>
      <c r="C113" s="318" t="s">
        <v>363</v>
      </c>
    </row>
    <row r="114" spans="1:3" ht="16.350000000000001" customHeight="1">
      <c r="A114" s="323" t="s">
        <v>2266</v>
      </c>
      <c r="B114" s="323" t="s">
        <v>2266</v>
      </c>
      <c r="C114" s="318" t="s">
        <v>363</v>
      </c>
    </row>
    <row r="115" spans="1:3" ht="16.350000000000001" customHeight="1">
      <c r="A115" s="323" t="s">
        <v>2267</v>
      </c>
      <c r="B115" s="323" t="s">
        <v>2267</v>
      </c>
      <c r="C115" s="318" t="s">
        <v>363</v>
      </c>
    </row>
    <row r="116" spans="1:3" ht="16.350000000000001" customHeight="1">
      <c r="A116" s="323" t="s">
        <v>2267</v>
      </c>
      <c r="B116" s="323" t="s">
        <v>2267</v>
      </c>
      <c r="C116" s="318" t="s">
        <v>363</v>
      </c>
    </row>
    <row r="117" spans="1:3" ht="16.350000000000001" customHeight="1">
      <c r="A117" s="323" t="s">
        <v>2268</v>
      </c>
      <c r="B117" s="323" t="s">
        <v>2268</v>
      </c>
      <c r="C117" s="318" t="s">
        <v>363</v>
      </c>
    </row>
    <row r="118" spans="1:3" ht="16.350000000000001" customHeight="1">
      <c r="A118" s="323" t="s">
        <v>2268</v>
      </c>
      <c r="B118" s="323" t="s">
        <v>2268</v>
      </c>
      <c r="C118" s="318" t="s">
        <v>363</v>
      </c>
    </row>
    <row r="119" spans="1:3" ht="16.350000000000001" customHeight="1">
      <c r="A119" s="323" t="s">
        <v>2269</v>
      </c>
      <c r="B119" s="323" t="s">
        <v>2269</v>
      </c>
      <c r="C119" s="318" t="s">
        <v>363</v>
      </c>
    </row>
    <row r="120" spans="1:3" ht="16.350000000000001" customHeight="1">
      <c r="A120" s="323" t="s">
        <v>2269</v>
      </c>
      <c r="B120" s="323" t="s">
        <v>2269</v>
      </c>
      <c r="C120" s="318" t="s">
        <v>363</v>
      </c>
    </row>
    <row r="121" spans="1:3" ht="16.350000000000001" customHeight="1">
      <c r="A121" s="323" t="s">
        <v>3728</v>
      </c>
      <c r="B121" s="323" t="s">
        <v>3728</v>
      </c>
      <c r="C121" s="318" t="s">
        <v>363</v>
      </c>
    </row>
    <row r="122" spans="1:3" ht="16.350000000000001" customHeight="1">
      <c r="A122" s="323" t="s">
        <v>3728</v>
      </c>
      <c r="B122" s="323" t="s">
        <v>3728</v>
      </c>
      <c r="C122" s="318" t="s">
        <v>363</v>
      </c>
    </row>
    <row r="123" spans="1:3" ht="16.350000000000001" customHeight="1">
      <c r="A123" s="323" t="s">
        <v>3728</v>
      </c>
      <c r="B123" s="323" t="s">
        <v>3728</v>
      </c>
      <c r="C123" s="318" t="s">
        <v>363</v>
      </c>
    </row>
    <row r="124" spans="1:3" ht="16.350000000000001" customHeight="1">
      <c r="A124" s="323" t="s">
        <v>3729</v>
      </c>
      <c r="B124" s="323" t="s">
        <v>3729</v>
      </c>
      <c r="C124" s="318" t="s">
        <v>363</v>
      </c>
    </row>
    <row r="125" spans="1:3" ht="16.350000000000001" customHeight="1">
      <c r="A125" s="323" t="s">
        <v>3729</v>
      </c>
      <c r="B125" s="323" t="s">
        <v>3729</v>
      </c>
      <c r="C125" s="318" t="s">
        <v>363</v>
      </c>
    </row>
    <row r="126" spans="1:3" ht="16.350000000000001" customHeight="1">
      <c r="A126" s="323" t="s">
        <v>3729</v>
      </c>
      <c r="B126" s="323" t="s">
        <v>3729</v>
      </c>
      <c r="C126" s="318" t="s">
        <v>363</v>
      </c>
    </row>
    <row r="127" spans="1:3" ht="16.350000000000001" customHeight="1">
      <c r="A127" s="323" t="s">
        <v>3730</v>
      </c>
      <c r="B127" s="323" t="s">
        <v>3730</v>
      </c>
      <c r="C127" s="318" t="s">
        <v>363</v>
      </c>
    </row>
    <row r="128" spans="1:3" ht="16.350000000000001" customHeight="1">
      <c r="A128" s="323" t="s">
        <v>3730</v>
      </c>
      <c r="B128" s="323" t="s">
        <v>3730</v>
      </c>
      <c r="C128" s="318" t="s">
        <v>363</v>
      </c>
    </row>
    <row r="129" spans="1:3" ht="16.350000000000001" customHeight="1">
      <c r="A129" s="323" t="s">
        <v>3730</v>
      </c>
      <c r="B129" s="323" t="s">
        <v>3730</v>
      </c>
      <c r="C129" s="318" t="s">
        <v>363</v>
      </c>
    </row>
    <row r="130" spans="1:3" ht="16.350000000000001" customHeight="1">
      <c r="A130" s="318" t="s">
        <v>2253</v>
      </c>
      <c r="B130" s="318" t="s">
        <v>2253</v>
      </c>
      <c r="C130" s="318" t="s">
        <v>364</v>
      </c>
    </row>
    <row r="131" spans="1:3" ht="16.350000000000001" customHeight="1">
      <c r="A131" s="318" t="s">
        <v>2253</v>
      </c>
      <c r="B131" s="318" t="s">
        <v>2253</v>
      </c>
      <c r="C131" s="318" t="s">
        <v>364</v>
      </c>
    </row>
    <row r="132" spans="1:3" ht="16.350000000000001" customHeight="1">
      <c r="A132" s="318" t="s">
        <v>2253</v>
      </c>
      <c r="B132" s="318" t="s">
        <v>2253</v>
      </c>
      <c r="C132" s="318" t="s">
        <v>364</v>
      </c>
    </row>
    <row r="133" spans="1:3" ht="16.350000000000001" customHeight="1">
      <c r="A133" s="318" t="s">
        <v>2253</v>
      </c>
      <c r="B133" s="318" t="s">
        <v>2253</v>
      </c>
      <c r="C133" s="318" t="s">
        <v>364</v>
      </c>
    </row>
    <row r="134" spans="1:3" ht="16.350000000000001" customHeight="1">
      <c r="A134" s="318" t="s">
        <v>2254</v>
      </c>
      <c r="B134" s="318" t="s">
        <v>2254</v>
      </c>
      <c r="C134" s="318" t="s">
        <v>364</v>
      </c>
    </row>
    <row r="135" spans="1:3" ht="16.350000000000001" customHeight="1">
      <c r="A135" s="318" t="s">
        <v>2254</v>
      </c>
      <c r="B135" s="318" t="s">
        <v>2254</v>
      </c>
      <c r="C135" s="318" t="s">
        <v>364</v>
      </c>
    </row>
    <row r="136" spans="1:3" ht="16.350000000000001" customHeight="1">
      <c r="A136" s="318" t="s">
        <v>2255</v>
      </c>
      <c r="B136" s="318" t="s">
        <v>2255</v>
      </c>
      <c r="C136" s="318" t="s">
        <v>364</v>
      </c>
    </row>
    <row r="137" spans="1:3" ht="16.350000000000001" customHeight="1">
      <c r="A137" s="318" t="s">
        <v>2255</v>
      </c>
      <c r="B137" s="318" t="s">
        <v>2255</v>
      </c>
      <c r="C137" s="318" t="s">
        <v>364</v>
      </c>
    </row>
    <row r="138" spans="1:3" ht="16.350000000000001" customHeight="1">
      <c r="A138" s="318" t="s">
        <v>2256</v>
      </c>
      <c r="B138" s="318" t="s">
        <v>2256</v>
      </c>
      <c r="C138" s="318" t="s">
        <v>364</v>
      </c>
    </row>
    <row r="139" spans="1:3" ht="16.350000000000001" customHeight="1">
      <c r="A139" s="318" t="s">
        <v>2256</v>
      </c>
      <c r="B139" s="318" t="s">
        <v>2256</v>
      </c>
      <c r="C139" s="318" t="s">
        <v>364</v>
      </c>
    </row>
    <row r="140" spans="1:3" ht="16.350000000000001" customHeight="1">
      <c r="A140" s="318" t="s">
        <v>2256</v>
      </c>
      <c r="B140" s="318" t="s">
        <v>2256</v>
      </c>
      <c r="C140" s="318" t="s">
        <v>364</v>
      </c>
    </row>
    <row r="141" spans="1:3" ht="16.350000000000001" customHeight="1">
      <c r="A141" s="318" t="s">
        <v>2256</v>
      </c>
      <c r="B141" s="318" t="s">
        <v>2256</v>
      </c>
      <c r="C141" s="318" t="s">
        <v>364</v>
      </c>
    </row>
    <row r="142" spans="1:3" ht="16.350000000000001" customHeight="1">
      <c r="A142" s="318" t="s">
        <v>2257</v>
      </c>
      <c r="B142" s="318" t="s">
        <v>2257</v>
      </c>
      <c r="C142" s="318" t="s">
        <v>364</v>
      </c>
    </row>
    <row r="143" spans="1:3" ht="16.350000000000001" customHeight="1">
      <c r="A143" s="318" t="s">
        <v>2257</v>
      </c>
      <c r="B143" s="318" t="s">
        <v>2257</v>
      </c>
      <c r="C143" s="318" t="s">
        <v>364</v>
      </c>
    </row>
    <row r="144" spans="1:3" ht="16.350000000000001" customHeight="1">
      <c r="A144" s="318" t="s">
        <v>2257</v>
      </c>
      <c r="B144" s="318" t="s">
        <v>2257</v>
      </c>
      <c r="C144" s="318" t="s">
        <v>364</v>
      </c>
    </row>
    <row r="145" spans="1:3" ht="16.350000000000001" customHeight="1">
      <c r="A145" s="318" t="s">
        <v>2258</v>
      </c>
      <c r="B145" s="318" t="s">
        <v>2258</v>
      </c>
      <c r="C145" s="318" t="s">
        <v>364</v>
      </c>
    </row>
    <row r="146" spans="1:3" ht="16.350000000000001" customHeight="1">
      <c r="A146" s="318" t="s">
        <v>2258</v>
      </c>
      <c r="B146" s="318" t="s">
        <v>2258</v>
      </c>
      <c r="C146" s="318" t="s">
        <v>364</v>
      </c>
    </row>
    <row r="147" spans="1:3" ht="16.350000000000001" customHeight="1">
      <c r="A147" s="318" t="s">
        <v>2258</v>
      </c>
      <c r="B147" s="318" t="s">
        <v>2258</v>
      </c>
      <c r="C147" s="318" t="s">
        <v>364</v>
      </c>
    </row>
    <row r="148" spans="1:3" ht="16.350000000000001" customHeight="1">
      <c r="A148" s="318" t="s">
        <v>2259</v>
      </c>
      <c r="B148" s="318" t="s">
        <v>2259</v>
      </c>
      <c r="C148" s="318" t="s">
        <v>364</v>
      </c>
    </row>
    <row r="149" spans="1:3" ht="16.350000000000001" customHeight="1">
      <c r="A149" s="318" t="s">
        <v>3727</v>
      </c>
      <c r="B149" s="318" t="s">
        <v>3727</v>
      </c>
      <c r="C149" s="318" t="s">
        <v>364</v>
      </c>
    </row>
    <row r="150" spans="1:3" ht="16.350000000000001" customHeight="1">
      <c r="A150" s="318" t="s">
        <v>3727</v>
      </c>
      <c r="B150" s="318" t="s">
        <v>3727</v>
      </c>
      <c r="C150" s="318" t="s">
        <v>364</v>
      </c>
    </row>
    <row r="151" spans="1:3" ht="16.350000000000001" customHeight="1">
      <c r="A151" s="318" t="s">
        <v>2261</v>
      </c>
      <c r="B151" s="318" t="s">
        <v>2261</v>
      </c>
      <c r="C151" s="318" t="s">
        <v>364</v>
      </c>
    </row>
    <row r="152" spans="1:3" ht="16.350000000000001" customHeight="1">
      <c r="A152" s="318" t="s">
        <v>2261</v>
      </c>
      <c r="B152" s="318" t="s">
        <v>2261</v>
      </c>
      <c r="C152" s="318" t="s">
        <v>364</v>
      </c>
    </row>
    <row r="153" spans="1:3" ht="16.350000000000001" customHeight="1">
      <c r="A153" s="318" t="s">
        <v>2261</v>
      </c>
      <c r="B153" s="318" t="s">
        <v>2261</v>
      </c>
      <c r="C153" s="318" t="s">
        <v>364</v>
      </c>
    </row>
    <row r="154" spans="1:3" ht="16.350000000000001" customHeight="1">
      <c r="A154" s="318" t="s">
        <v>2261</v>
      </c>
      <c r="B154" s="318" t="s">
        <v>2261</v>
      </c>
      <c r="C154" s="318" t="s">
        <v>364</v>
      </c>
    </row>
    <row r="155" spans="1:3" ht="16.350000000000001" customHeight="1">
      <c r="A155" s="318" t="s">
        <v>2262</v>
      </c>
      <c r="B155" s="318" t="s">
        <v>2262</v>
      </c>
      <c r="C155" s="318" t="s">
        <v>364</v>
      </c>
    </row>
    <row r="156" spans="1:3" ht="16.350000000000001" customHeight="1">
      <c r="A156" s="318" t="s">
        <v>2262</v>
      </c>
      <c r="B156" s="318" t="s">
        <v>2262</v>
      </c>
      <c r="C156" s="318" t="s">
        <v>364</v>
      </c>
    </row>
    <row r="157" spans="1:3" ht="16.350000000000001" customHeight="1">
      <c r="A157" s="318" t="s">
        <v>2262</v>
      </c>
      <c r="B157" s="318" t="s">
        <v>2262</v>
      </c>
      <c r="C157" s="318" t="s">
        <v>364</v>
      </c>
    </row>
    <row r="158" spans="1:3" ht="16.350000000000001" customHeight="1">
      <c r="A158" s="318" t="s">
        <v>2262</v>
      </c>
      <c r="B158" s="318" t="s">
        <v>2262</v>
      </c>
      <c r="C158" s="318" t="s">
        <v>364</v>
      </c>
    </row>
    <row r="159" spans="1:3" ht="16.350000000000001" customHeight="1">
      <c r="A159" s="318" t="s">
        <v>2263</v>
      </c>
      <c r="B159" s="318" t="s">
        <v>2263</v>
      </c>
      <c r="C159" s="318" t="s">
        <v>364</v>
      </c>
    </row>
    <row r="160" spans="1:3" ht="16.350000000000001" customHeight="1">
      <c r="A160" s="318" t="s">
        <v>2263</v>
      </c>
      <c r="B160" s="318" t="s">
        <v>2263</v>
      </c>
      <c r="C160" s="318" t="s">
        <v>364</v>
      </c>
    </row>
    <row r="161" spans="1:3" ht="16.350000000000001" customHeight="1">
      <c r="A161" s="318" t="s">
        <v>2263</v>
      </c>
      <c r="B161" s="318" t="s">
        <v>2263</v>
      </c>
      <c r="C161" s="318" t="s">
        <v>364</v>
      </c>
    </row>
    <row r="162" spans="1:3" ht="16.350000000000001" customHeight="1">
      <c r="A162" s="318" t="s">
        <v>2263</v>
      </c>
      <c r="B162" s="318" t="s">
        <v>2263</v>
      </c>
      <c r="C162" s="318" t="s">
        <v>364</v>
      </c>
    </row>
    <row r="163" spans="1:3" ht="16.350000000000001" customHeight="1">
      <c r="A163" s="318" t="s">
        <v>2264</v>
      </c>
      <c r="B163" s="318" t="s">
        <v>2264</v>
      </c>
      <c r="C163" s="318" t="s">
        <v>364</v>
      </c>
    </row>
    <row r="164" spans="1:3" ht="16.350000000000001" customHeight="1">
      <c r="A164" s="318" t="s">
        <v>2264</v>
      </c>
      <c r="B164" s="318" t="s">
        <v>2264</v>
      </c>
      <c r="C164" s="318" t="s">
        <v>364</v>
      </c>
    </row>
    <row r="165" spans="1:3" ht="16.350000000000001" customHeight="1">
      <c r="A165" s="318" t="s">
        <v>2264</v>
      </c>
      <c r="B165" s="318" t="s">
        <v>2264</v>
      </c>
      <c r="C165" s="318" t="s">
        <v>364</v>
      </c>
    </row>
    <row r="166" spans="1:3" ht="16.350000000000001" customHeight="1">
      <c r="A166" s="318" t="s">
        <v>2264</v>
      </c>
      <c r="B166" s="318" t="s">
        <v>2264</v>
      </c>
      <c r="C166" s="318" t="s">
        <v>364</v>
      </c>
    </row>
    <row r="167" spans="1:3" ht="16.350000000000001" customHeight="1">
      <c r="A167" s="318" t="s">
        <v>2264</v>
      </c>
      <c r="B167" s="318" t="s">
        <v>2264</v>
      </c>
      <c r="C167" s="318" t="s">
        <v>364</v>
      </c>
    </row>
    <row r="168" spans="1:3" ht="16.350000000000001" customHeight="1">
      <c r="A168" s="318" t="s">
        <v>2265</v>
      </c>
      <c r="B168" s="318" t="s">
        <v>2265</v>
      </c>
      <c r="C168" s="318" t="s">
        <v>364</v>
      </c>
    </row>
    <row r="169" spans="1:3" ht="16.350000000000001" customHeight="1">
      <c r="A169" s="318" t="s">
        <v>2265</v>
      </c>
      <c r="B169" s="318" t="s">
        <v>2265</v>
      </c>
      <c r="C169" s="318" t="s">
        <v>364</v>
      </c>
    </row>
    <row r="170" spans="1:3" ht="16.350000000000001" customHeight="1">
      <c r="A170" s="318" t="s">
        <v>2265</v>
      </c>
      <c r="B170" s="318" t="s">
        <v>2265</v>
      </c>
      <c r="C170" s="318" t="s">
        <v>364</v>
      </c>
    </row>
    <row r="171" spans="1:3" ht="16.350000000000001" customHeight="1">
      <c r="A171" s="318" t="s">
        <v>2265</v>
      </c>
      <c r="B171" s="318" t="s">
        <v>2265</v>
      </c>
      <c r="C171" s="318" t="s">
        <v>364</v>
      </c>
    </row>
    <row r="172" spans="1:3" ht="16.350000000000001" customHeight="1">
      <c r="A172" s="318" t="s">
        <v>2265</v>
      </c>
      <c r="B172" s="318" t="s">
        <v>2265</v>
      </c>
      <c r="C172" s="318" t="s">
        <v>364</v>
      </c>
    </row>
    <row r="173" spans="1:3" ht="16.350000000000001" customHeight="1">
      <c r="A173" s="318" t="s">
        <v>2266</v>
      </c>
      <c r="B173" s="318" t="s">
        <v>2266</v>
      </c>
      <c r="C173" s="318" t="s">
        <v>364</v>
      </c>
    </row>
    <row r="174" spans="1:3" ht="16.350000000000001" customHeight="1">
      <c r="A174" s="318" t="s">
        <v>2266</v>
      </c>
      <c r="B174" s="318" t="s">
        <v>2266</v>
      </c>
      <c r="C174" s="318" t="s">
        <v>364</v>
      </c>
    </row>
    <row r="175" spans="1:3" ht="16.350000000000001" customHeight="1">
      <c r="A175" s="318" t="s">
        <v>2266</v>
      </c>
      <c r="B175" s="318" t="s">
        <v>2266</v>
      </c>
      <c r="C175" s="318" t="s">
        <v>364</v>
      </c>
    </row>
    <row r="176" spans="1:3" ht="16.350000000000001" customHeight="1">
      <c r="A176" s="318" t="s">
        <v>2266</v>
      </c>
      <c r="B176" s="318" t="s">
        <v>2266</v>
      </c>
      <c r="C176" s="318" t="s">
        <v>364</v>
      </c>
    </row>
    <row r="177" spans="1:3" ht="16.350000000000001" customHeight="1">
      <c r="A177" s="318" t="s">
        <v>2266</v>
      </c>
      <c r="B177" s="318" t="s">
        <v>2266</v>
      </c>
      <c r="C177" s="318" t="s">
        <v>364</v>
      </c>
    </row>
    <row r="178" spans="1:3" ht="16.350000000000001" customHeight="1">
      <c r="A178" s="318" t="s">
        <v>2267</v>
      </c>
      <c r="B178" s="318" t="s">
        <v>2267</v>
      </c>
      <c r="C178" s="318" t="s">
        <v>364</v>
      </c>
    </row>
    <row r="179" spans="1:3" ht="16.350000000000001" customHeight="1">
      <c r="A179" s="318" t="s">
        <v>2267</v>
      </c>
      <c r="B179" s="318" t="s">
        <v>2267</v>
      </c>
      <c r="C179" s="318" t="s">
        <v>364</v>
      </c>
    </row>
    <row r="180" spans="1:3" ht="16.350000000000001" customHeight="1">
      <c r="A180" s="318" t="s">
        <v>2268</v>
      </c>
      <c r="B180" s="318" t="s">
        <v>2268</v>
      </c>
      <c r="C180" s="318" t="s">
        <v>364</v>
      </c>
    </row>
    <row r="181" spans="1:3" ht="16.350000000000001" customHeight="1">
      <c r="A181" s="318" t="s">
        <v>2268</v>
      </c>
      <c r="B181" s="318" t="s">
        <v>2268</v>
      </c>
      <c r="C181" s="318" t="s">
        <v>364</v>
      </c>
    </row>
    <row r="182" spans="1:3" ht="16.350000000000001" customHeight="1">
      <c r="A182" s="318" t="s">
        <v>2269</v>
      </c>
      <c r="B182" s="318" t="s">
        <v>2269</v>
      </c>
      <c r="C182" s="318" t="s">
        <v>364</v>
      </c>
    </row>
    <row r="183" spans="1:3" ht="16.350000000000001" customHeight="1">
      <c r="A183" s="318" t="s">
        <v>2269</v>
      </c>
      <c r="B183" s="318" t="s">
        <v>2269</v>
      </c>
      <c r="C183" s="318" t="s">
        <v>364</v>
      </c>
    </row>
    <row r="184" spans="1:3" ht="16.350000000000001" customHeight="1">
      <c r="A184" s="318" t="s">
        <v>3728</v>
      </c>
      <c r="B184" s="318" t="s">
        <v>3728</v>
      </c>
      <c r="C184" s="318" t="s">
        <v>364</v>
      </c>
    </row>
    <row r="185" spans="1:3" ht="16.350000000000001" customHeight="1">
      <c r="A185" s="318" t="s">
        <v>3728</v>
      </c>
      <c r="B185" s="318" t="s">
        <v>3728</v>
      </c>
      <c r="C185" s="318" t="s">
        <v>364</v>
      </c>
    </row>
    <row r="186" spans="1:3" ht="16.350000000000001" customHeight="1">
      <c r="A186" s="318" t="s">
        <v>3728</v>
      </c>
      <c r="B186" s="318" t="s">
        <v>3728</v>
      </c>
      <c r="C186" s="318" t="s">
        <v>364</v>
      </c>
    </row>
    <row r="187" spans="1:3" ht="16.350000000000001" customHeight="1">
      <c r="A187" s="318" t="s">
        <v>3729</v>
      </c>
      <c r="B187" s="318" t="s">
        <v>3729</v>
      </c>
      <c r="C187" s="318" t="s">
        <v>364</v>
      </c>
    </row>
    <row r="188" spans="1:3" ht="16.350000000000001" customHeight="1">
      <c r="A188" s="318" t="s">
        <v>3729</v>
      </c>
      <c r="B188" s="318" t="s">
        <v>3729</v>
      </c>
      <c r="C188" s="318" t="s">
        <v>364</v>
      </c>
    </row>
    <row r="189" spans="1:3" ht="16.350000000000001" customHeight="1">
      <c r="A189" s="318" t="s">
        <v>3729</v>
      </c>
      <c r="B189" s="318" t="s">
        <v>3729</v>
      </c>
      <c r="C189" s="318" t="s">
        <v>364</v>
      </c>
    </row>
    <row r="190" spans="1:3" ht="16.350000000000001" customHeight="1">
      <c r="A190" s="318" t="s">
        <v>3730</v>
      </c>
      <c r="B190" s="318" t="s">
        <v>3730</v>
      </c>
      <c r="C190" s="318" t="s">
        <v>364</v>
      </c>
    </row>
    <row r="191" spans="1:3" ht="16.350000000000001" customHeight="1">
      <c r="A191" s="318" t="s">
        <v>3730</v>
      </c>
      <c r="B191" s="318" t="s">
        <v>3730</v>
      </c>
      <c r="C191" s="318" t="s">
        <v>364</v>
      </c>
    </row>
    <row r="192" spans="1:3" ht="16.350000000000001" customHeight="1">
      <c r="A192" s="318" t="s">
        <v>3730</v>
      </c>
      <c r="B192" s="318" t="s">
        <v>3730</v>
      </c>
      <c r="C192" s="318" t="s">
        <v>364</v>
      </c>
    </row>
    <row r="193" spans="1:3" ht="16.350000000000001" customHeight="1">
      <c r="A193" s="323" t="s">
        <v>2236</v>
      </c>
      <c r="B193" s="318" t="s">
        <v>2253</v>
      </c>
      <c r="C193" s="318" t="s">
        <v>135</v>
      </c>
    </row>
    <row r="194" spans="1:3" ht="16.350000000000001" customHeight="1">
      <c r="A194" s="323" t="s">
        <v>2236</v>
      </c>
      <c r="B194" s="318" t="s">
        <v>2253</v>
      </c>
      <c r="C194" s="318" t="s">
        <v>135</v>
      </c>
    </row>
    <row r="195" spans="1:3" ht="16.350000000000001" customHeight="1">
      <c r="A195" s="323" t="s">
        <v>2236</v>
      </c>
      <c r="B195" s="318" t="s">
        <v>2253</v>
      </c>
      <c r="C195" s="318" t="s">
        <v>135</v>
      </c>
    </row>
    <row r="196" spans="1:3" ht="16.350000000000001" customHeight="1">
      <c r="A196" s="323" t="s">
        <v>2236</v>
      </c>
      <c r="B196" s="318" t="s">
        <v>2253</v>
      </c>
      <c r="C196" s="318" t="s">
        <v>135</v>
      </c>
    </row>
    <row r="197" spans="1:3" ht="16.350000000000001" customHeight="1">
      <c r="A197" s="323" t="s">
        <v>2237</v>
      </c>
      <c r="B197" s="318" t="s">
        <v>2254</v>
      </c>
      <c r="C197" s="318" t="s">
        <v>135</v>
      </c>
    </row>
    <row r="198" spans="1:3" ht="16.350000000000001" customHeight="1">
      <c r="A198" s="323" t="s">
        <v>2237</v>
      </c>
      <c r="B198" s="318" t="s">
        <v>2254</v>
      </c>
      <c r="C198" s="318" t="s">
        <v>135</v>
      </c>
    </row>
    <row r="199" spans="1:3" ht="16.350000000000001" customHeight="1">
      <c r="A199" s="323" t="s">
        <v>2238</v>
      </c>
      <c r="B199" s="318" t="s">
        <v>2255</v>
      </c>
      <c r="C199" s="318" t="s">
        <v>135</v>
      </c>
    </row>
    <row r="200" spans="1:3" ht="16.350000000000001" customHeight="1">
      <c r="A200" s="323" t="s">
        <v>2238</v>
      </c>
      <c r="B200" s="318" t="s">
        <v>2255</v>
      </c>
      <c r="C200" s="318" t="s">
        <v>135</v>
      </c>
    </row>
    <row r="201" spans="1:3" ht="16.350000000000001" customHeight="1">
      <c r="A201" s="323" t="s">
        <v>2239</v>
      </c>
      <c r="B201" s="318" t="s">
        <v>2256</v>
      </c>
      <c r="C201" s="318" t="s">
        <v>135</v>
      </c>
    </row>
    <row r="202" spans="1:3" ht="16.350000000000001" customHeight="1">
      <c r="A202" s="323" t="s">
        <v>2239</v>
      </c>
      <c r="B202" s="318" t="s">
        <v>2256</v>
      </c>
      <c r="C202" s="318" t="s">
        <v>135</v>
      </c>
    </row>
    <row r="203" spans="1:3" ht="16.350000000000001" customHeight="1">
      <c r="A203" s="323" t="s">
        <v>2239</v>
      </c>
      <c r="B203" s="318" t="s">
        <v>2256</v>
      </c>
      <c r="C203" s="318" t="s">
        <v>135</v>
      </c>
    </row>
    <row r="204" spans="1:3" ht="16.350000000000001" customHeight="1">
      <c r="A204" s="323" t="s">
        <v>2239</v>
      </c>
      <c r="B204" s="318" t="s">
        <v>2256</v>
      </c>
      <c r="C204" s="318" t="s">
        <v>135</v>
      </c>
    </row>
    <row r="205" spans="1:3" ht="16.350000000000001" customHeight="1">
      <c r="A205" s="323" t="s">
        <v>2240</v>
      </c>
      <c r="B205" s="318" t="s">
        <v>2257</v>
      </c>
      <c r="C205" s="318" t="s">
        <v>135</v>
      </c>
    </row>
    <row r="206" spans="1:3" ht="16.350000000000001" customHeight="1">
      <c r="A206" s="323" t="s">
        <v>2240</v>
      </c>
      <c r="B206" s="318" t="s">
        <v>2257</v>
      </c>
      <c r="C206" s="318" t="s">
        <v>135</v>
      </c>
    </row>
    <row r="207" spans="1:3" ht="16.350000000000001" customHeight="1">
      <c r="A207" s="323" t="s">
        <v>2240</v>
      </c>
      <c r="B207" s="318" t="s">
        <v>2257</v>
      </c>
      <c r="C207" s="318" t="s">
        <v>135</v>
      </c>
    </row>
    <row r="208" spans="1:3" ht="16.350000000000001" customHeight="1">
      <c r="A208" s="323" t="s">
        <v>2241</v>
      </c>
      <c r="B208" s="318" t="s">
        <v>2258</v>
      </c>
      <c r="C208" s="318" t="s">
        <v>135</v>
      </c>
    </row>
    <row r="209" spans="1:3" ht="16.350000000000001" customHeight="1">
      <c r="A209" s="323" t="s">
        <v>2241</v>
      </c>
      <c r="B209" s="318" t="s">
        <v>2258</v>
      </c>
      <c r="C209" s="318" t="s">
        <v>135</v>
      </c>
    </row>
    <row r="210" spans="1:3" ht="16.350000000000001" customHeight="1">
      <c r="A210" s="323" t="s">
        <v>2241</v>
      </c>
      <c r="B210" s="318" t="s">
        <v>2258</v>
      </c>
      <c r="C210" s="318" t="s">
        <v>135</v>
      </c>
    </row>
    <row r="211" spans="1:3" ht="16.350000000000001" customHeight="1">
      <c r="A211" s="323" t="s">
        <v>2242</v>
      </c>
      <c r="B211" s="318" t="s">
        <v>2259</v>
      </c>
      <c r="C211" s="318" t="s">
        <v>135</v>
      </c>
    </row>
    <row r="212" spans="1:3" ht="16.350000000000001" customHeight="1">
      <c r="A212" s="323" t="s">
        <v>2243</v>
      </c>
      <c r="B212" s="318" t="s">
        <v>2260</v>
      </c>
      <c r="C212" s="318" t="s">
        <v>135</v>
      </c>
    </row>
    <row r="213" spans="1:3" ht="16.350000000000001" customHeight="1">
      <c r="A213" s="323" t="s">
        <v>2243</v>
      </c>
      <c r="B213" s="318" t="s">
        <v>2260</v>
      </c>
      <c r="C213" s="318" t="s">
        <v>135</v>
      </c>
    </row>
    <row r="214" spans="1:3" ht="16.350000000000001" customHeight="1">
      <c r="A214" s="323" t="s">
        <v>2244</v>
      </c>
      <c r="B214" s="318" t="s">
        <v>2261</v>
      </c>
      <c r="C214" s="318" t="s">
        <v>135</v>
      </c>
    </row>
    <row r="215" spans="1:3" ht="16.350000000000001" customHeight="1">
      <c r="A215" s="323" t="s">
        <v>2244</v>
      </c>
      <c r="B215" s="318" t="s">
        <v>2261</v>
      </c>
      <c r="C215" s="318" t="s">
        <v>135</v>
      </c>
    </row>
    <row r="216" spans="1:3" ht="16.350000000000001" customHeight="1">
      <c r="A216" s="323" t="s">
        <v>2244</v>
      </c>
      <c r="B216" s="318" t="s">
        <v>2261</v>
      </c>
      <c r="C216" s="318" t="s">
        <v>135</v>
      </c>
    </row>
    <row r="217" spans="1:3" ht="16.350000000000001" customHeight="1">
      <c r="A217" s="323" t="s">
        <v>2244</v>
      </c>
      <c r="B217" s="318" t="s">
        <v>2261</v>
      </c>
      <c r="C217" s="318" t="s">
        <v>135</v>
      </c>
    </row>
    <row r="218" spans="1:3" ht="16.350000000000001" customHeight="1">
      <c r="A218" s="323" t="s">
        <v>2245</v>
      </c>
      <c r="B218" s="318" t="s">
        <v>2262</v>
      </c>
      <c r="C218" s="318" t="s">
        <v>135</v>
      </c>
    </row>
    <row r="219" spans="1:3" ht="16.350000000000001" customHeight="1">
      <c r="A219" s="323" t="s">
        <v>2245</v>
      </c>
      <c r="B219" s="318" t="s">
        <v>2262</v>
      </c>
      <c r="C219" s="318" t="s">
        <v>135</v>
      </c>
    </row>
    <row r="220" spans="1:3" ht="16.350000000000001" customHeight="1">
      <c r="A220" s="323" t="s">
        <v>2245</v>
      </c>
      <c r="B220" s="318" t="s">
        <v>2262</v>
      </c>
      <c r="C220" s="318" t="s">
        <v>135</v>
      </c>
    </row>
    <row r="221" spans="1:3" ht="16.350000000000001" customHeight="1">
      <c r="A221" s="323" t="s">
        <v>2245</v>
      </c>
      <c r="B221" s="318" t="s">
        <v>2262</v>
      </c>
      <c r="C221" s="318" t="s">
        <v>135</v>
      </c>
    </row>
    <row r="222" spans="1:3" ht="16.350000000000001" customHeight="1">
      <c r="A222" s="323" t="s">
        <v>2246</v>
      </c>
      <c r="B222" s="318" t="s">
        <v>2263</v>
      </c>
      <c r="C222" s="318" t="s">
        <v>135</v>
      </c>
    </row>
    <row r="223" spans="1:3" ht="16.350000000000001" customHeight="1">
      <c r="A223" s="323" t="s">
        <v>2246</v>
      </c>
      <c r="B223" s="318" t="s">
        <v>2263</v>
      </c>
      <c r="C223" s="318" t="s">
        <v>135</v>
      </c>
    </row>
    <row r="224" spans="1:3" ht="16.350000000000001" customHeight="1">
      <c r="A224" s="323" t="s">
        <v>2246</v>
      </c>
      <c r="B224" s="318" t="s">
        <v>2263</v>
      </c>
      <c r="C224" s="318" t="s">
        <v>135</v>
      </c>
    </row>
    <row r="225" spans="1:3" ht="16.350000000000001" customHeight="1">
      <c r="A225" s="323" t="s">
        <v>2246</v>
      </c>
      <c r="B225" s="318" t="s">
        <v>2263</v>
      </c>
      <c r="C225" s="318" t="s">
        <v>135</v>
      </c>
    </row>
    <row r="226" spans="1:3" ht="16.350000000000001" customHeight="1">
      <c r="A226" s="323" t="s">
        <v>2247</v>
      </c>
      <c r="B226" s="318" t="s">
        <v>2264</v>
      </c>
      <c r="C226" s="318" t="s">
        <v>135</v>
      </c>
    </row>
    <row r="227" spans="1:3" ht="16.350000000000001" customHeight="1">
      <c r="A227" s="323" t="s">
        <v>2247</v>
      </c>
      <c r="B227" s="318" t="s">
        <v>2264</v>
      </c>
      <c r="C227" s="318" t="s">
        <v>135</v>
      </c>
    </row>
    <row r="228" spans="1:3" ht="16.350000000000001" customHeight="1">
      <c r="A228" s="323" t="s">
        <v>2247</v>
      </c>
      <c r="B228" s="318" t="s">
        <v>2264</v>
      </c>
      <c r="C228" s="318" t="s">
        <v>135</v>
      </c>
    </row>
    <row r="229" spans="1:3" ht="16.350000000000001" customHeight="1">
      <c r="A229" s="323" t="s">
        <v>2247</v>
      </c>
      <c r="B229" s="318" t="s">
        <v>2264</v>
      </c>
      <c r="C229" s="318" t="s">
        <v>135</v>
      </c>
    </row>
    <row r="230" spans="1:3" ht="16.350000000000001" customHeight="1">
      <c r="A230" s="323" t="s">
        <v>2247</v>
      </c>
      <c r="B230" s="318" t="s">
        <v>2264</v>
      </c>
      <c r="C230" s="318" t="s">
        <v>135</v>
      </c>
    </row>
    <row r="231" spans="1:3" ht="16.350000000000001" customHeight="1">
      <c r="A231" s="323" t="s">
        <v>2248</v>
      </c>
      <c r="B231" s="318" t="s">
        <v>2265</v>
      </c>
      <c r="C231" s="318" t="s">
        <v>135</v>
      </c>
    </row>
    <row r="232" spans="1:3" ht="16.350000000000001" customHeight="1">
      <c r="A232" s="323" t="s">
        <v>2248</v>
      </c>
      <c r="B232" s="318" t="s">
        <v>2265</v>
      </c>
      <c r="C232" s="318" t="s">
        <v>135</v>
      </c>
    </row>
    <row r="233" spans="1:3" ht="16.350000000000001" customHeight="1">
      <c r="A233" s="323" t="s">
        <v>2248</v>
      </c>
      <c r="B233" s="318" t="s">
        <v>2265</v>
      </c>
      <c r="C233" s="318" t="s">
        <v>135</v>
      </c>
    </row>
    <row r="234" spans="1:3" ht="16.350000000000001" customHeight="1">
      <c r="A234" s="323" t="s">
        <v>2248</v>
      </c>
      <c r="B234" s="318" t="s">
        <v>2265</v>
      </c>
      <c r="C234" s="318" t="s">
        <v>135</v>
      </c>
    </row>
    <row r="235" spans="1:3" ht="16.350000000000001" customHeight="1">
      <c r="A235" s="323" t="s">
        <v>2248</v>
      </c>
      <c r="B235" s="318" t="s">
        <v>2265</v>
      </c>
      <c r="C235" s="318" t="s">
        <v>135</v>
      </c>
    </row>
    <row r="236" spans="1:3" ht="16.350000000000001" customHeight="1">
      <c r="A236" s="323" t="s">
        <v>2249</v>
      </c>
      <c r="B236" s="318" t="s">
        <v>2266</v>
      </c>
      <c r="C236" s="318" t="s">
        <v>135</v>
      </c>
    </row>
    <row r="237" spans="1:3" ht="16.350000000000001" customHeight="1">
      <c r="A237" s="323" t="s">
        <v>2249</v>
      </c>
      <c r="B237" s="318" t="s">
        <v>2266</v>
      </c>
      <c r="C237" s="318" t="s">
        <v>135</v>
      </c>
    </row>
    <row r="238" spans="1:3" ht="16.350000000000001" customHeight="1">
      <c r="A238" s="323" t="s">
        <v>2249</v>
      </c>
      <c r="B238" s="318" t="s">
        <v>2266</v>
      </c>
      <c r="C238" s="318" t="s">
        <v>135</v>
      </c>
    </row>
    <row r="239" spans="1:3" ht="16.350000000000001" customHeight="1">
      <c r="A239" s="323" t="s">
        <v>2249</v>
      </c>
      <c r="B239" s="318" t="s">
        <v>2266</v>
      </c>
      <c r="C239" s="318" t="s">
        <v>135</v>
      </c>
    </row>
    <row r="240" spans="1:3" ht="16.350000000000001" customHeight="1">
      <c r="A240" s="323" t="s">
        <v>2249</v>
      </c>
      <c r="B240" s="318" t="s">
        <v>2266</v>
      </c>
      <c r="C240" s="318" t="s">
        <v>135</v>
      </c>
    </row>
    <row r="241" spans="1:4" ht="16.350000000000001" customHeight="1">
      <c r="A241" s="323" t="s">
        <v>2250</v>
      </c>
      <c r="B241" s="318" t="s">
        <v>2267</v>
      </c>
      <c r="C241" s="318" t="s">
        <v>135</v>
      </c>
    </row>
    <row r="242" spans="1:4" ht="16.350000000000001" customHeight="1">
      <c r="A242" s="323" t="s">
        <v>2250</v>
      </c>
      <c r="B242" s="318" t="s">
        <v>2267</v>
      </c>
      <c r="C242" s="318" t="s">
        <v>135</v>
      </c>
    </row>
    <row r="243" spans="1:4" ht="16.350000000000001" customHeight="1">
      <c r="A243" s="323" t="s">
        <v>2251</v>
      </c>
      <c r="B243" s="318" t="s">
        <v>2268</v>
      </c>
      <c r="C243" s="318" t="s">
        <v>135</v>
      </c>
    </row>
    <row r="244" spans="1:4" ht="16.350000000000001" customHeight="1">
      <c r="A244" s="323" t="s">
        <v>2251</v>
      </c>
      <c r="B244" s="318" t="s">
        <v>2268</v>
      </c>
      <c r="C244" s="318" t="s">
        <v>135</v>
      </c>
    </row>
    <row r="245" spans="1:4" ht="16.350000000000001" customHeight="1">
      <c r="A245" s="323" t="s">
        <v>2252</v>
      </c>
      <c r="B245" s="318" t="s">
        <v>2269</v>
      </c>
      <c r="C245" s="318" t="s">
        <v>135</v>
      </c>
    </row>
    <row r="246" spans="1:4" ht="16.350000000000001" customHeight="1">
      <c r="A246" s="323" t="s">
        <v>2252</v>
      </c>
      <c r="B246" s="318" t="s">
        <v>2269</v>
      </c>
      <c r="C246" s="318" t="s">
        <v>135</v>
      </c>
    </row>
    <row r="247" spans="1:4" ht="16.350000000000001" customHeight="1">
      <c r="A247" s="323" t="s">
        <v>3731</v>
      </c>
      <c r="B247" s="318" t="s">
        <v>3728</v>
      </c>
      <c r="C247" s="318" t="s">
        <v>135</v>
      </c>
    </row>
    <row r="248" spans="1:4" ht="16.350000000000001" customHeight="1">
      <c r="A248" s="323" t="s">
        <v>3731</v>
      </c>
      <c r="B248" s="318" t="s">
        <v>3728</v>
      </c>
      <c r="C248" s="318" t="s">
        <v>135</v>
      </c>
    </row>
    <row r="249" spans="1:4" ht="16.350000000000001" customHeight="1">
      <c r="A249" s="323" t="s">
        <v>3731</v>
      </c>
      <c r="B249" s="318" t="s">
        <v>3728</v>
      </c>
      <c r="C249" s="318" t="s">
        <v>135</v>
      </c>
    </row>
    <row r="250" spans="1:4" ht="16.350000000000001" customHeight="1">
      <c r="A250" s="323" t="s">
        <v>3732</v>
      </c>
      <c r="B250" s="318" t="s">
        <v>3729</v>
      </c>
      <c r="C250" s="318" t="s">
        <v>135</v>
      </c>
    </row>
    <row r="251" spans="1:4" ht="16.350000000000001" customHeight="1">
      <c r="A251" s="323" t="s">
        <v>3732</v>
      </c>
      <c r="B251" s="318" t="s">
        <v>3729</v>
      </c>
      <c r="C251" s="318" t="s">
        <v>135</v>
      </c>
    </row>
    <row r="252" spans="1:4" ht="16.350000000000001" customHeight="1">
      <c r="A252" s="323" t="s">
        <v>3732</v>
      </c>
      <c r="B252" s="318" t="s">
        <v>3729</v>
      </c>
      <c r="C252" s="318" t="s">
        <v>135</v>
      </c>
    </row>
    <row r="253" spans="1:4" ht="16.350000000000001" customHeight="1">
      <c r="A253" s="323" t="s">
        <v>3733</v>
      </c>
      <c r="B253" s="318" t="s">
        <v>3730</v>
      </c>
      <c r="C253" s="318" t="s">
        <v>135</v>
      </c>
    </row>
    <row r="254" spans="1:4" ht="16.350000000000001" customHeight="1">
      <c r="A254" s="323" t="s">
        <v>3733</v>
      </c>
      <c r="B254" s="318" t="s">
        <v>3730</v>
      </c>
      <c r="C254" s="318" t="s">
        <v>135</v>
      </c>
    </row>
    <row r="255" spans="1:4" ht="16.350000000000001" customHeight="1">
      <c r="A255" s="323" t="s">
        <v>3733</v>
      </c>
      <c r="B255" s="318" t="s">
        <v>3730</v>
      </c>
      <c r="C255" s="318" t="s">
        <v>135</v>
      </c>
    </row>
    <row r="256" spans="1:4" ht="16.350000000000001" customHeight="1">
      <c r="A256" s="318" t="s">
        <v>2289</v>
      </c>
      <c r="B256" s="318" t="s">
        <v>2253</v>
      </c>
      <c r="C256" s="318" t="s">
        <v>136</v>
      </c>
      <c r="D256" s="318" t="s">
        <v>2376</v>
      </c>
    </row>
    <row r="257" spans="1:4" ht="16.350000000000001" customHeight="1">
      <c r="A257" s="318" t="s">
        <v>2289</v>
      </c>
      <c r="B257" s="318" t="s">
        <v>2253</v>
      </c>
      <c r="C257" s="318" t="s">
        <v>136</v>
      </c>
      <c r="D257" s="318" t="s">
        <v>2377</v>
      </c>
    </row>
    <row r="258" spans="1:4" ht="16.350000000000001" customHeight="1">
      <c r="A258" s="318" t="s">
        <v>2289</v>
      </c>
      <c r="B258" s="318" t="s">
        <v>2253</v>
      </c>
      <c r="C258" s="318" t="s">
        <v>136</v>
      </c>
    </row>
    <row r="259" spans="1:4" ht="16.350000000000001" customHeight="1">
      <c r="A259" s="318" t="s">
        <v>2289</v>
      </c>
      <c r="B259" s="318" t="s">
        <v>2253</v>
      </c>
      <c r="C259" s="318" t="s">
        <v>136</v>
      </c>
    </row>
    <row r="260" spans="1:4" ht="16.350000000000001" customHeight="1">
      <c r="A260" s="318" t="s">
        <v>3469</v>
      </c>
      <c r="B260" s="318" t="s">
        <v>2254</v>
      </c>
      <c r="C260" s="318" t="s">
        <v>136</v>
      </c>
    </row>
    <row r="261" spans="1:4" ht="16.350000000000001" customHeight="1">
      <c r="A261" s="318" t="s">
        <v>3469</v>
      </c>
      <c r="B261" s="318" t="s">
        <v>2254</v>
      </c>
      <c r="C261" s="318" t="s">
        <v>136</v>
      </c>
    </row>
    <row r="262" spans="1:4" ht="16.350000000000001" customHeight="1">
      <c r="A262" s="318" t="s">
        <v>3474</v>
      </c>
      <c r="B262" s="318" t="s">
        <v>2255</v>
      </c>
      <c r="C262" s="318" t="s">
        <v>136</v>
      </c>
    </row>
    <row r="263" spans="1:4" ht="16.350000000000001" customHeight="1">
      <c r="A263" s="318" t="s">
        <v>3474</v>
      </c>
      <c r="B263" s="318" t="s">
        <v>2255</v>
      </c>
      <c r="C263" s="318" t="s">
        <v>136</v>
      </c>
    </row>
    <row r="264" spans="1:4" ht="16.350000000000001" customHeight="1">
      <c r="A264" s="318" t="s">
        <v>2290</v>
      </c>
      <c r="B264" s="318" t="s">
        <v>2256</v>
      </c>
      <c r="C264" s="318" t="s">
        <v>136</v>
      </c>
    </row>
    <row r="265" spans="1:4" ht="16.350000000000001" customHeight="1">
      <c r="A265" s="318" t="s">
        <v>2290</v>
      </c>
      <c r="B265" s="318" t="s">
        <v>2256</v>
      </c>
      <c r="C265" s="318" t="s">
        <v>136</v>
      </c>
    </row>
    <row r="266" spans="1:4" ht="16.350000000000001" customHeight="1">
      <c r="A266" s="318" t="s">
        <v>2290</v>
      </c>
      <c r="B266" s="318" t="s">
        <v>2256</v>
      </c>
      <c r="C266" s="318" t="s">
        <v>136</v>
      </c>
    </row>
    <row r="267" spans="1:4" ht="16.350000000000001" customHeight="1">
      <c r="A267" s="318" t="s">
        <v>2290</v>
      </c>
      <c r="B267" s="318" t="s">
        <v>2256</v>
      </c>
      <c r="C267" s="318" t="s">
        <v>136</v>
      </c>
    </row>
    <row r="268" spans="1:4" ht="16.350000000000001" customHeight="1">
      <c r="A268" s="318" t="s">
        <v>3470</v>
      </c>
      <c r="B268" s="318" t="s">
        <v>2257</v>
      </c>
      <c r="C268" s="318" t="s">
        <v>136</v>
      </c>
    </row>
    <row r="269" spans="1:4" ht="16.350000000000001" customHeight="1">
      <c r="A269" s="318" t="s">
        <v>3470</v>
      </c>
      <c r="B269" s="318" t="s">
        <v>2257</v>
      </c>
      <c r="C269" s="318" t="s">
        <v>136</v>
      </c>
    </row>
    <row r="270" spans="1:4" ht="16.350000000000001" customHeight="1">
      <c r="A270" s="318" t="s">
        <v>3470</v>
      </c>
      <c r="B270" s="318" t="s">
        <v>2257</v>
      </c>
      <c r="C270" s="318" t="s">
        <v>136</v>
      </c>
    </row>
    <row r="271" spans="1:4" ht="16.350000000000001" customHeight="1">
      <c r="A271" s="318" t="s">
        <v>3475</v>
      </c>
      <c r="B271" s="318" t="s">
        <v>2258</v>
      </c>
      <c r="C271" s="318" t="s">
        <v>136</v>
      </c>
    </row>
    <row r="272" spans="1:4" ht="16.350000000000001" customHeight="1">
      <c r="A272" s="318" t="s">
        <v>3475</v>
      </c>
      <c r="B272" s="318" t="s">
        <v>2258</v>
      </c>
      <c r="C272" s="318" t="s">
        <v>136</v>
      </c>
    </row>
    <row r="273" spans="1:3" ht="16.350000000000001" customHeight="1">
      <c r="A273" s="318" t="s">
        <v>3475</v>
      </c>
      <c r="B273" s="318" t="s">
        <v>2258</v>
      </c>
      <c r="C273" s="318" t="s">
        <v>136</v>
      </c>
    </row>
    <row r="274" spans="1:3" ht="16.350000000000001" customHeight="1">
      <c r="A274" s="318" t="s">
        <v>2291</v>
      </c>
      <c r="B274" s="318" t="s">
        <v>2259</v>
      </c>
      <c r="C274" s="318" t="s">
        <v>136</v>
      </c>
    </row>
    <row r="275" spans="1:3" ht="16.350000000000001" customHeight="1">
      <c r="A275" s="318" t="s">
        <v>3734</v>
      </c>
      <c r="B275" s="318" t="s">
        <v>3727</v>
      </c>
      <c r="C275" s="318" t="s">
        <v>136</v>
      </c>
    </row>
    <row r="276" spans="1:3" ht="16.350000000000001" customHeight="1">
      <c r="A276" s="318" t="s">
        <v>3734</v>
      </c>
      <c r="B276" s="318" t="s">
        <v>3727</v>
      </c>
      <c r="C276" s="318" t="s">
        <v>136</v>
      </c>
    </row>
    <row r="277" spans="1:3" ht="16.350000000000001" customHeight="1">
      <c r="A277" s="318" t="s">
        <v>2292</v>
      </c>
      <c r="B277" s="318" t="s">
        <v>2261</v>
      </c>
      <c r="C277" s="318" t="s">
        <v>136</v>
      </c>
    </row>
    <row r="278" spans="1:3" ht="16.350000000000001" customHeight="1">
      <c r="A278" s="318" t="s">
        <v>2292</v>
      </c>
      <c r="B278" s="318" t="s">
        <v>2261</v>
      </c>
      <c r="C278" s="318" t="s">
        <v>136</v>
      </c>
    </row>
    <row r="279" spans="1:3" ht="16.350000000000001" customHeight="1">
      <c r="A279" s="318" t="s">
        <v>2292</v>
      </c>
      <c r="B279" s="318" t="s">
        <v>2261</v>
      </c>
      <c r="C279" s="318" t="s">
        <v>136</v>
      </c>
    </row>
    <row r="280" spans="1:3" ht="16.350000000000001" customHeight="1">
      <c r="A280" s="318" t="s">
        <v>2292</v>
      </c>
      <c r="B280" s="318" t="s">
        <v>2261</v>
      </c>
      <c r="C280" s="318" t="s">
        <v>136</v>
      </c>
    </row>
    <row r="281" spans="1:3" ht="16.350000000000001" customHeight="1">
      <c r="A281" s="318" t="s">
        <v>3471</v>
      </c>
      <c r="B281" s="318" t="s">
        <v>2262</v>
      </c>
      <c r="C281" s="318" t="s">
        <v>136</v>
      </c>
    </row>
    <row r="282" spans="1:3" ht="16.350000000000001" customHeight="1">
      <c r="A282" s="318" t="s">
        <v>3471</v>
      </c>
      <c r="B282" s="318" t="s">
        <v>2262</v>
      </c>
      <c r="C282" s="318" t="s">
        <v>136</v>
      </c>
    </row>
    <row r="283" spans="1:3" ht="16.350000000000001" customHeight="1">
      <c r="A283" s="318" t="s">
        <v>3471</v>
      </c>
      <c r="B283" s="318" t="s">
        <v>2262</v>
      </c>
      <c r="C283" s="318" t="s">
        <v>136</v>
      </c>
    </row>
    <row r="284" spans="1:3" ht="16.350000000000001" customHeight="1">
      <c r="A284" s="318" t="s">
        <v>3471</v>
      </c>
      <c r="B284" s="318" t="s">
        <v>2262</v>
      </c>
      <c r="C284" s="318" t="s">
        <v>136</v>
      </c>
    </row>
    <row r="285" spans="1:3" ht="16.350000000000001" customHeight="1">
      <c r="A285" s="318" t="s">
        <v>3476</v>
      </c>
      <c r="B285" s="318" t="s">
        <v>2263</v>
      </c>
      <c r="C285" s="318" t="s">
        <v>136</v>
      </c>
    </row>
    <row r="286" spans="1:3" ht="16.350000000000001" customHeight="1">
      <c r="A286" s="318" t="s">
        <v>3476</v>
      </c>
      <c r="B286" s="318" t="s">
        <v>2263</v>
      </c>
      <c r="C286" s="318" t="s">
        <v>136</v>
      </c>
    </row>
    <row r="287" spans="1:3" ht="16.350000000000001" customHeight="1">
      <c r="A287" s="318" t="s">
        <v>3476</v>
      </c>
      <c r="B287" s="318" t="s">
        <v>2263</v>
      </c>
      <c r="C287" s="318" t="s">
        <v>136</v>
      </c>
    </row>
    <row r="288" spans="1:3" ht="16.350000000000001" customHeight="1">
      <c r="A288" s="318" t="s">
        <v>3476</v>
      </c>
      <c r="B288" s="318" t="s">
        <v>2263</v>
      </c>
      <c r="C288" s="318" t="s">
        <v>136</v>
      </c>
    </row>
    <row r="289" spans="1:3" ht="16.350000000000001" customHeight="1">
      <c r="A289" s="318" t="s">
        <v>2293</v>
      </c>
      <c r="B289" s="318" t="s">
        <v>2264</v>
      </c>
      <c r="C289" s="318" t="s">
        <v>136</v>
      </c>
    </row>
    <row r="290" spans="1:3" ht="16.350000000000001" customHeight="1">
      <c r="A290" s="318" t="s">
        <v>2293</v>
      </c>
      <c r="B290" s="318" t="s">
        <v>2264</v>
      </c>
      <c r="C290" s="318" t="s">
        <v>136</v>
      </c>
    </row>
    <row r="291" spans="1:3" ht="16.350000000000001" customHeight="1">
      <c r="A291" s="318" t="s">
        <v>2293</v>
      </c>
      <c r="B291" s="318" t="s">
        <v>2264</v>
      </c>
      <c r="C291" s="318" t="s">
        <v>136</v>
      </c>
    </row>
    <row r="292" spans="1:3" ht="16.350000000000001" customHeight="1">
      <c r="A292" s="318" t="s">
        <v>2293</v>
      </c>
      <c r="B292" s="318" t="s">
        <v>2264</v>
      </c>
      <c r="C292" s="318" t="s">
        <v>136</v>
      </c>
    </row>
    <row r="293" spans="1:3" ht="16.350000000000001" customHeight="1">
      <c r="A293" s="318" t="s">
        <v>2293</v>
      </c>
      <c r="B293" s="318" t="s">
        <v>2264</v>
      </c>
      <c r="C293" s="318" t="s">
        <v>136</v>
      </c>
    </row>
    <row r="294" spans="1:3" ht="16.350000000000001" customHeight="1">
      <c r="A294" s="318" t="s">
        <v>3472</v>
      </c>
      <c r="B294" s="318" t="s">
        <v>2265</v>
      </c>
      <c r="C294" s="318" t="s">
        <v>136</v>
      </c>
    </row>
    <row r="295" spans="1:3" ht="16.350000000000001" customHeight="1">
      <c r="A295" s="318" t="s">
        <v>3472</v>
      </c>
      <c r="B295" s="318" t="s">
        <v>2265</v>
      </c>
      <c r="C295" s="318" t="s">
        <v>136</v>
      </c>
    </row>
    <row r="296" spans="1:3" ht="16.350000000000001" customHeight="1">
      <c r="A296" s="318" t="s">
        <v>3472</v>
      </c>
      <c r="B296" s="318" t="s">
        <v>2265</v>
      </c>
      <c r="C296" s="318" t="s">
        <v>136</v>
      </c>
    </row>
    <row r="297" spans="1:3" ht="16.350000000000001" customHeight="1">
      <c r="A297" s="318" t="s">
        <v>3472</v>
      </c>
      <c r="B297" s="318" t="s">
        <v>2265</v>
      </c>
      <c r="C297" s="318" t="s">
        <v>136</v>
      </c>
    </row>
    <row r="298" spans="1:3" ht="16.350000000000001" customHeight="1">
      <c r="A298" s="318" t="s">
        <v>3472</v>
      </c>
      <c r="B298" s="318" t="s">
        <v>2265</v>
      </c>
      <c r="C298" s="318" t="s">
        <v>136</v>
      </c>
    </row>
    <row r="299" spans="1:3" ht="16.350000000000001" customHeight="1">
      <c r="A299" s="318" t="s">
        <v>3477</v>
      </c>
      <c r="B299" s="318" t="s">
        <v>2266</v>
      </c>
      <c r="C299" s="318" t="s">
        <v>136</v>
      </c>
    </row>
    <row r="300" spans="1:3" ht="16.350000000000001" customHeight="1">
      <c r="A300" s="318" t="s">
        <v>3477</v>
      </c>
      <c r="B300" s="318" t="s">
        <v>2266</v>
      </c>
      <c r="C300" s="318" t="s">
        <v>136</v>
      </c>
    </row>
    <row r="301" spans="1:3" ht="16.350000000000001" customHeight="1">
      <c r="A301" s="318" t="s">
        <v>3477</v>
      </c>
      <c r="B301" s="318" t="s">
        <v>2266</v>
      </c>
      <c r="C301" s="318" t="s">
        <v>136</v>
      </c>
    </row>
    <row r="302" spans="1:3" ht="16.350000000000001" customHeight="1">
      <c r="A302" s="318" t="s">
        <v>3477</v>
      </c>
      <c r="B302" s="318" t="s">
        <v>2266</v>
      </c>
      <c r="C302" s="318" t="s">
        <v>136</v>
      </c>
    </row>
    <row r="303" spans="1:3" ht="16.350000000000001" customHeight="1">
      <c r="A303" s="318" t="s">
        <v>3477</v>
      </c>
      <c r="B303" s="318" t="s">
        <v>2266</v>
      </c>
      <c r="C303" s="318" t="s">
        <v>136</v>
      </c>
    </row>
    <row r="304" spans="1:3" ht="16.350000000000001" customHeight="1">
      <c r="A304" s="318" t="s">
        <v>2294</v>
      </c>
      <c r="B304" s="318" t="s">
        <v>2267</v>
      </c>
      <c r="C304" s="318" t="s">
        <v>136</v>
      </c>
    </row>
    <row r="305" spans="1:3" ht="16.350000000000001" customHeight="1">
      <c r="A305" s="318" t="s">
        <v>2294</v>
      </c>
      <c r="B305" s="318" t="s">
        <v>2267</v>
      </c>
      <c r="C305" s="318" t="s">
        <v>136</v>
      </c>
    </row>
    <row r="306" spans="1:3" ht="16.350000000000001" customHeight="1">
      <c r="A306" s="318" t="s">
        <v>3473</v>
      </c>
      <c r="B306" s="318" t="s">
        <v>2268</v>
      </c>
      <c r="C306" s="318" t="s">
        <v>136</v>
      </c>
    </row>
    <row r="307" spans="1:3" ht="16.350000000000001" customHeight="1">
      <c r="A307" s="318" t="s">
        <v>3473</v>
      </c>
      <c r="B307" s="318" t="s">
        <v>2268</v>
      </c>
      <c r="C307" s="318" t="s">
        <v>136</v>
      </c>
    </row>
    <row r="308" spans="1:3" ht="16.350000000000001" customHeight="1">
      <c r="A308" s="318" t="s">
        <v>3478</v>
      </c>
      <c r="B308" s="318" t="s">
        <v>2269</v>
      </c>
      <c r="C308" s="318" t="s">
        <v>136</v>
      </c>
    </row>
    <row r="309" spans="1:3" ht="16.350000000000001" customHeight="1">
      <c r="A309" s="318" t="s">
        <v>3478</v>
      </c>
      <c r="B309" s="318" t="s">
        <v>2269</v>
      </c>
      <c r="C309" s="318" t="s">
        <v>136</v>
      </c>
    </row>
    <row r="310" spans="1:3" ht="16.350000000000001" customHeight="1">
      <c r="A310" s="318" t="s">
        <v>3735</v>
      </c>
      <c r="B310" s="318" t="s">
        <v>3728</v>
      </c>
      <c r="C310" s="318" t="s">
        <v>136</v>
      </c>
    </row>
    <row r="311" spans="1:3" ht="16.350000000000001" customHeight="1">
      <c r="A311" s="318" t="s">
        <v>3735</v>
      </c>
      <c r="B311" s="318" t="s">
        <v>3728</v>
      </c>
      <c r="C311" s="318" t="s">
        <v>136</v>
      </c>
    </row>
    <row r="312" spans="1:3" ht="16.350000000000001" customHeight="1">
      <c r="A312" s="318" t="s">
        <v>3735</v>
      </c>
      <c r="B312" s="318" t="s">
        <v>3728</v>
      </c>
      <c r="C312" s="318" t="s">
        <v>136</v>
      </c>
    </row>
    <row r="313" spans="1:3" ht="16.350000000000001" customHeight="1">
      <c r="A313" s="318" t="s">
        <v>3736</v>
      </c>
      <c r="B313" s="318" t="s">
        <v>3729</v>
      </c>
      <c r="C313" s="318" t="s">
        <v>136</v>
      </c>
    </row>
    <row r="314" spans="1:3" ht="16.350000000000001" customHeight="1">
      <c r="A314" s="318" t="s">
        <v>3736</v>
      </c>
      <c r="B314" s="318" t="s">
        <v>3729</v>
      </c>
      <c r="C314" s="318" t="s">
        <v>136</v>
      </c>
    </row>
    <row r="315" spans="1:3" ht="16.350000000000001" customHeight="1">
      <c r="A315" s="318" t="s">
        <v>3736</v>
      </c>
      <c r="B315" s="318" t="s">
        <v>3729</v>
      </c>
      <c r="C315" s="318" t="s">
        <v>136</v>
      </c>
    </row>
    <row r="316" spans="1:3" ht="16.350000000000001" customHeight="1">
      <c r="A316" s="318" t="s">
        <v>3737</v>
      </c>
      <c r="B316" s="318" t="s">
        <v>3730</v>
      </c>
      <c r="C316" s="318" t="s">
        <v>136</v>
      </c>
    </row>
    <row r="317" spans="1:3" ht="16.350000000000001" customHeight="1">
      <c r="A317" s="318" t="s">
        <v>3737</v>
      </c>
      <c r="B317" s="318" t="s">
        <v>3730</v>
      </c>
      <c r="C317" s="318" t="s">
        <v>136</v>
      </c>
    </row>
    <row r="318" spans="1:3" ht="16.350000000000001" customHeight="1">
      <c r="A318" s="318" t="s">
        <v>3737</v>
      </c>
      <c r="B318" s="318" t="s">
        <v>3730</v>
      </c>
      <c r="C318" s="318" t="s">
        <v>136</v>
      </c>
    </row>
    <row r="319" spans="1:3" ht="16.350000000000001" customHeight="1">
      <c r="A319" s="318" t="s">
        <v>2784</v>
      </c>
      <c r="B319" s="318" t="s">
        <v>2253</v>
      </c>
      <c r="C319" s="318" t="s">
        <v>2783</v>
      </c>
    </row>
    <row r="320" spans="1:3" ht="16.350000000000001" customHeight="1">
      <c r="A320" s="318" t="s">
        <v>2784</v>
      </c>
      <c r="B320" s="318" t="s">
        <v>2253</v>
      </c>
      <c r="C320" s="318" t="s">
        <v>2783</v>
      </c>
    </row>
    <row r="321" spans="1:3" ht="16.350000000000001" customHeight="1">
      <c r="A321" s="318" t="s">
        <v>2784</v>
      </c>
      <c r="B321" s="318" t="s">
        <v>2253</v>
      </c>
      <c r="C321" s="318" t="s">
        <v>2783</v>
      </c>
    </row>
    <row r="322" spans="1:3" ht="16.350000000000001" customHeight="1">
      <c r="A322" s="318" t="s">
        <v>2784</v>
      </c>
      <c r="B322" s="318" t="s">
        <v>2253</v>
      </c>
      <c r="C322" s="318" t="s">
        <v>2783</v>
      </c>
    </row>
    <row r="323" spans="1:3" ht="16.350000000000001" customHeight="1">
      <c r="A323" s="318" t="s">
        <v>2790</v>
      </c>
      <c r="B323" s="318" t="s">
        <v>2254</v>
      </c>
      <c r="C323" s="318" t="s">
        <v>2783</v>
      </c>
    </row>
    <row r="324" spans="1:3" ht="16.350000000000001" customHeight="1">
      <c r="A324" s="318" t="s">
        <v>2790</v>
      </c>
      <c r="B324" s="318" t="s">
        <v>2254</v>
      </c>
      <c r="C324" s="318" t="s">
        <v>2783</v>
      </c>
    </row>
    <row r="325" spans="1:3" ht="16.350000000000001" customHeight="1">
      <c r="A325" s="318" t="s">
        <v>2795</v>
      </c>
      <c r="B325" s="318" t="s">
        <v>2255</v>
      </c>
      <c r="C325" s="318" t="s">
        <v>2783</v>
      </c>
    </row>
    <row r="326" spans="1:3" ht="16.350000000000001" customHeight="1">
      <c r="A326" s="318" t="s">
        <v>2795</v>
      </c>
      <c r="B326" s="318" t="s">
        <v>2255</v>
      </c>
      <c r="C326" s="318" t="s">
        <v>2783</v>
      </c>
    </row>
    <row r="327" spans="1:3" ht="16.350000000000001" customHeight="1">
      <c r="A327" s="318" t="s">
        <v>2785</v>
      </c>
      <c r="B327" s="318" t="s">
        <v>2256</v>
      </c>
      <c r="C327" s="318" t="s">
        <v>2783</v>
      </c>
    </row>
    <row r="328" spans="1:3" ht="16.350000000000001" customHeight="1">
      <c r="A328" s="318" t="s">
        <v>2785</v>
      </c>
      <c r="B328" s="318" t="s">
        <v>2256</v>
      </c>
      <c r="C328" s="318" t="s">
        <v>2783</v>
      </c>
    </row>
    <row r="329" spans="1:3" ht="16.350000000000001" customHeight="1">
      <c r="A329" s="318" t="s">
        <v>2785</v>
      </c>
      <c r="B329" s="318" t="s">
        <v>2256</v>
      </c>
      <c r="C329" s="318" t="s">
        <v>2783</v>
      </c>
    </row>
    <row r="330" spans="1:3" ht="16.350000000000001" customHeight="1">
      <c r="A330" s="318" t="s">
        <v>2785</v>
      </c>
      <c r="B330" s="318" t="s">
        <v>2256</v>
      </c>
      <c r="C330" s="318" t="s">
        <v>2783</v>
      </c>
    </row>
    <row r="331" spans="1:3" ht="16.350000000000001" customHeight="1">
      <c r="A331" s="318" t="s">
        <v>2791</v>
      </c>
      <c r="B331" s="318" t="s">
        <v>2257</v>
      </c>
      <c r="C331" s="318" t="s">
        <v>2783</v>
      </c>
    </row>
    <row r="332" spans="1:3" ht="16.350000000000001" customHeight="1">
      <c r="A332" s="318" t="s">
        <v>2791</v>
      </c>
      <c r="B332" s="318" t="s">
        <v>2257</v>
      </c>
      <c r="C332" s="318" t="s">
        <v>2783</v>
      </c>
    </row>
    <row r="333" spans="1:3" ht="16.350000000000001" customHeight="1">
      <c r="A333" s="318" t="s">
        <v>2791</v>
      </c>
      <c r="B333" s="318" t="s">
        <v>2257</v>
      </c>
      <c r="C333" s="318" t="s">
        <v>2783</v>
      </c>
    </row>
    <row r="334" spans="1:3" ht="16.350000000000001" customHeight="1">
      <c r="A334" s="318" t="s">
        <v>2796</v>
      </c>
      <c r="B334" s="318" t="s">
        <v>2258</v>
      </c>
      <c r="C334" s="318" t="s">
        <v>2783</v>
      </c>
    </row>
    <row r="335" spans="1:3" ht="16.350000000000001" customHeight="1">
      <c r="A335" s="318" t="s">
        <v>2796</v>
      </c>
      <c r="B335" s="318" t="s">
        <v>2258</v>
      </c>
      <c r="C335" s="318" t="s">
        <v>2783</v>
      </c>
    </row>
    <row r="336" spans="1:3" ht="16.350000000000001" customHeight="1">
      <c r="A336" s="318" t="s">
        <v>2796</v>
      </c>
      <c r="B336" s="318" t="s">
        <v>2258</v>
      </c>
      <c r="C336" s="318" t="s">
        <v>2783</v>
      </c>
    </row>
    <row r="337" spans="1:3" ht="16.350000000000001" customHeight="1">
      <c r="A337" s="318" t="s">
        <v>2786</v>
      </c>
      <c r="B337" s="318" t="s">
        <v>2259</v>
      </c>
      <c r="C337" s="318" t="s">
        <v>2783</v>
      </c>
    </row>
    <row r="338" spans="1:3" ht="16.350000000000001" customHeight="1">
      <c r="A338" s="318" t="s">
        <v>3738</v>
      </c>
      <c r="B338" s="318" t="s">
        <v>3727</v>
      </c>
      <c r="C338" s="318" t="s">
        <v>2783</v>
      </c>
    </row>
    <row r="339" spans="1:3" ht="16.350000000000001" customHeight="1">
      <c r="A339" s="318" t="s">
        <v>3738</v>
      </c>
      <c r="B339" s="318" t="s">
        <v>3727</v>
      </c>
      <c r="C339" s="318" t="s">
        <v>2783</v>
      </c>
    </row>
    <row r="340" spans="1:3" ht="16.350000000000001" customHeight="1">
      <c r="A340" s="318" t="s">
        <v>2787</v>
      </c>
      <c r="B340" s="318" t="s">
        <v>2261</v>
      </c>
      <c r="C340" s="318" t="s">
        <v>2783</v>
      </c>
    </row>
    <row r="341" spans="1:3" ht="16.350000000000001" customHeight="1">
      <c r="A341" s="318" t="s">
        <v>2787</v>
      </c>
      <c r="B341" s="318" t="s">
        <v>2261</v>
      </c>
      <c r="C341" s="318" t="s">
        <v>2783</v>
      </c>
    </row>
    <row r="342" spans="1:3" ht="16.350000000000001" customHeight="1">
      <c r="A342" s="318" t="s">
        <v>2787</v>
      </c>
      <c r="B342" s="318" t="s">
        <v>2261</v>
      </c>
      <c r="C342" s="318" t="s">
        <v>2783</v>
      </c>
    </row>
    <row r="343" spans="1:3" ht="16.350000000000001" customHeight="1">
      <c r="A343" s="318" t="s">
        <v>2787</v>
      </c>
      <c r="B343" s="318" t="s">
        <v>2261</v>
      </c>
      <c r="C343" s="318" t="s">
        <v>2783</v>
      </c>
    </row>
    <row r="344" spans="1:3" ht="16.350000000000001" customHeight="1">
      <c r="A344" s="318" t="s">
        <v>2792</v>
      </c>
      <c r="B344" s="318" t="s">
        <v>2262</v>
      </c>
      <c r="C344" s="318" t="s">
        <v>2783</v>
      </c>
    </row>
    <row r="345" spans="1:3" ht="16.350000000000001" customHeight="1">
      <c r="A345" s="318" t="s">
        <v>2792</v>
      </c>
      <c r="B345" s="318" t="s">
        <v>2262</v>
      </c>
      <c r="C345" s="318" t="s">
        <v>2783</v>
      </c>
    </row>
    <row r="346" spans="1:3" ht="16.350000000000001" customHeight="1">
      <c r="A346" s="318" t="s">
        <v>2792</v>
      </c>
      <c r="B346" s="318" t="s">
        <v>2262</v>
      </c>
      <c r="C346" s="318" t="s">
        <v>2783</v>
      </c>
    </row>
    <row r="347" spans="1:3" ht="16.350000000000001" customHeight="1">
      <c r="A347" s="318" t="s">
        <v>2792</v>
      </c>
      <c r="B347" s="318" t="s">
        <v>2262</v>
      </c>
      <c r="C347" s="318" t="s">
        <v>2783</v>
      </c>
    </row>
    <row r="348" spans="1:3" ht="16.350000000000001" customHeight="1">
      <c r="A348" s="318" t="s">
        <v>2797</v>
      </c>
      <c r="B348" s="318" t="s">
        <v>2263</v>
      </c>
      <c r="C348" s="318" t="s">
        <v>2783</v>
      </c>
    </row>
    <row r="349" spans="1:3" ht="16.350000000000001" customHeight="1">
      <c r="A349" s="318" t="s">
        <v>2797</v>
      </c>
      <c r="B349" s="318" t="s">
        <v>2263</v>
      </c>
      <c r="C349" s="318" t="s">
        <v>2783</v>
      </c>
    </row>
    <row r="350" spans="1:3" ht="16.350000000000001" customHeight="1">
      <c r="A350" s="318" t="s">
        <v>2797</v>
      </c>
      <c r="B350" s="318" t="s">
        <v>2263</v>
      </c>
      <c r="C350" s="318" t="s">
        <v>2783</v>
      </c>
    </row>
    <row r="351" spans="1:3" ht="16.350000000000001" customHeight="1">
      <c r="A351" s="318" t="s">
        <v>2797</v>
      </c>
      <c r="B351" s="318" t="s">
        <v>2263</v>
      </c>
      <c r="C351" s="318" t="s">
        <v>2783</v>
      </c>
    </row>
    <row r="352" spans="1:3" ht="16.350000000000001" customHeight="1">
      <c r="A352" s="318" t="s">
        <v>2788</v>
      </c>
      <c r="B352" s="318" t="s">
        <v>2264</v>
      </c>
      <c r="C352" s="318" t="s">
        <v>2783</v>
      </c>
    </row>
    <row r="353" spans="1:3" ht="16.350000000000001" customHeight="1">
      <c r="A353" s="318" t="s">
        <v>2788</v>
      </c>
      <c r="B353" s="318" t="s">
        <v>2264</v>
      </c>
      <c r="C353" s="318" t="s">
        <v>2783</v>
      </c>
    </row>
    <row r="354" spans="1:3" ht="16.350000000000001" customHeight="1">
      <c r="A354" s="318" t="s">
        <v>2788</v>
      </c>
      <c r="B354" s="318" t="s">
        <v>2264</v>
      </c>
      <c r="C354" s="318" t="s">
        <v>2783</v>
      </c>
    </row>
    <row r="355" spans="1:3" ht="16.350000000000001" customHeight="1">
      <c r="A355" s="318" t="s">
        <v>2788</v>
      </c>
      <c r="B355" s="318" t="s">
        <v>2264</v>
      </c>
      <c r="C355" s="318" t="s">
        <v>2783</v>
      </c>
    </row>
    <row r="356" spans="1:3" ht="16.350000000000001" customHeight="1">
      <c r="A356" s="318" t="s">
        <v>2788</v>
      </c>
      <c r="B356" s="318" t="s">
        <v>2264</v>
      </c>
      <c r="C356" s="318" t="s">
        <v>2783</v>
      </c>
    </row>
    <row r="357" spans="1:3" ht="16.350000000000001" customHeight="1">
      <c r="A357" s="318" t="s">
        <v>2793</v>
      </c>
      <c r="B357" s="318" t="s">
        <v>2265</v>
      </c>
      <c r="C357" s="318" t="s">
        <v>2783</v>
      </c>
    </row>
    <row r="358" spans="1:3" ht="16.350000000000001" customHeight="1">
      <c r="A358" s="318" t="s">
        <v>2793</v>
      </c>
      <c r="B358" s="318" t="s">
        <v>2265</v>
      </c>
      <c r="C358" s="318" t="s">
        <v>2783</v>
      </c>
    </row>
    <row r="359" spans="1:3" ht="16.350000000000001" customHeight="1">
      <c r="A359" s="318" t="s">
        <v>2793</v>
      </c>
      <c r="B359" s="318" t="s">
        <v>2265</v>
      </c>
      <c r="C359" s="318" t="s">
        <v>2783</v>
      </c>
    </row>
    <row r="360" spans="1:3" ht="16.350000000000001" customHeight="1">
      <c r="A360" s="318" t="s">
        <v>2793</v>
      </c>
      <c r="B360" s="318" t="s">
        <v>2265</v>
      </c>
      <c r="C360" s="318" t="s">
        <v>2783</v>
      </c>
    </row>
    <row r="361" spans="1:3" ht="16.350000000000001" customHeight="1">
      <c r="A361" s="318" t="s">
        <v>2793</v>
      </c>
      <c r="B361" s="318" t="s">
        <v>2265</v>
      </c>
      <c r="C361" s="318" t="s">
        <v>2783</v>
      </c>
    </row>
    <row r="362" spans="1:3" ht="16.350000000000001" customHeight="1">
      <c r="A362" s="318" t="s">
        <v>2798</v>
      </c>
      <c r="B362" s="318" t="s">
        <v>2266</v>
      </c>
      <c r="C362" s="318" t="s">
        <v>2783</v>
      </c>
    </row>
    <row r="363" spans="1:3" ht="16.350000000000001" customHeight="1">
      <c r="A363" s="318" t="s">
        <v>2798</v>
      </c>
      <c r="B363" s="318" t="s">
        <v>2266</v>
      </c>
      <c r="C363" s="318" t="s">
        <v>2783</v>
      </c>
    </row>
    <row r="364" spans="1:3" ht="16.350000000000001" customHeight="1">
      <c r="A364" s="318" t="s">
        <v>2798</v>
      </c>
      <c r="B364" s="318" t="s">
        <v>2266</v>
      </c>
      <c r="C364" s="318" t="s">
        <v>2783</v>
      </c>
    </row>
    <row r="365" spans="1:3" ht="16.350000000000001" customHeight="1">
      <c r="A365" s="318" t="s">
        <v>2798</v>
      </c>
      <c r="B365" s="318" t="s">
        <v>2266</v>
      </c>
      <c r="C365" s="318" t="s">
        <v>2783</v>
      </c>
    </row>
    <row r="366" spans="1:3" ht="16.350000000000001" customHeight="1">
      <c r="A366" s="318" t="s">
        <v>2798</v>
      </c>
      <c r="B366" s="318" t="s">
        <v>2266</v>
      </c>
      <c r="C366" s="318" t="s">
        <v>2783</v>
      </c>
    </row>
    <row r="367" spans="1:3" ht="16.350000000000001" customHeight="1">
      <c r="A367" s="318" t="s">
        <v>2789</v>
      </c>
      <c r="B367" s="318" t="s">
        <v>2267</v>
      </c>
      <c r="C367" s="318" t="s">
        <v>2783</v>
      </c>
    </row>
    <row r="368" spans="1:3" ht="16.350000000000001" customHeight="1">
      <c r="A368" s="318" t="s">
        <v>2789</v>
      </c>
      <c r="B368" s="318" t="s">
        <v>2267</v>
      </c>
      <c r="C368" s="318" t="s">
        <v>2783</v>
      </c>
    </row>
    <row r="369" spans="1:3" ht="16.350000000000001" customHeight="1">
      <c r="A369" s="318" t="s">
        <v>2794</v>
      </c>
      <c r="B369" s="318" t="s">
        <v>2268</v>
      </c>
      <c r="C369" s="318" t="s">
        <v>2783</v>
      </c>
    </row>
    <row r="370" spans="1:3" ht="16.350000000000001" customHeight="1">
      <c r="A370" s="318" t="s">
        <v>2794</v>
      </c>
      <c r="B370" s="318" t="s">
        <v>2268</v>
      </c>
      <c r="C370" s="318" t="s">
        <v>2783</v>
      </c>
    </row>
    <row r="371" spans="1:3" ht="16.350000000000001" customHeight="1">
      <c r="A371" s="318" t="s">
        <v>2799</v>
      </c>
      <c r="B371" s="318" t="s">
        <v>2269</v>
      </c>
      <c r="C371" s="318" t="s">
        <v>2783</v>
      </c>
    </row>
    <row r="372" spans="1:3" ht="16.350000000000001" customHeight="1">
      <c r="A372" s="318" t="s">
        <v>2799</v>
      </c>
      <c r="B372" s="318" t="s">
        <v>2269</v>
      </c>
      <c r="C372" s="318" t="s">
        <v>2783</v>
      </c>
    </row>
    <row r="373" spans="1:3" ht="16.350000000000001" customHeight="1">
      <c r="A373" s="318" t="s">
        <v>3739</v>
      </c>
      <c r="B373" s="318" t="s">
        <v>3728</v>
      </c>
      <c r="C373" s="318" t="s">
        <v>2783</v>
      </c>
    </row>
    <row r="374" spans="1:3" ht="16.350000000000001" customHeight="1">
      <c r="A374" s="318" t="s">
        <v>3739</v>
      </c>
      <c r="B374" s="318" t="s">
        <v>3728</v>
      </c>
      <c r="C374" s="318" t="s">
        <v>2783</v>
      </c>
    </row>
    <row r="375" spans="1:3" ht="16.350000000000001" customHeight="1">
      <c r="A375" s="318" t="s">
        <v>3739</v>
      </c>
      <c r="B375" s="318" t="s">
        <v>3728</v>
      </c>
      <c r="C375" s="318" t="s">
        <v>2783</v>
      </c>
    </row>
    <row r="376" spans="1:3" ht="16.350000000000001" customHeight="1">
      <c r="A376" s="318" t="s">
        <v>3740</v>
      </c>
      <c r="B376" s="318" t="s">
        <v>3729</v>
      </c>
      <c r="C376" s="318" t="s">
        <v>2783</v>
      </c>
    </row>
    <row r="377" spans="1:3" ht="16.350000000000001" customHeight="1">
      <c r="A377" s="318" t="s">
        <v>3740</v>
      </c>
      <c r="B377" s="318" t="s">
        <v>3729</v>
      </c>
      <c r="C377" s="318" t="s">
        <v>2783</v>
      </c>
    </row>
    <row r="378" spans="1:3" ht="16.350000000000001" customHeight="1">
      <c r="A378" s="318" t="s">
        <v>3740</v>
      </c>
      <c r="B378" s="318" t="s">
        <v>3729</v>
      </c>
      <c r="C378" s="318" t="s">
        <v>2783</v>
      </c>
    </row>
    <row r="379" spans="1:3" ht="16.350000000000001" customHeight="1">
      <c r="A379" s="318" t="s">
        <v>3741</v>
      </c>
      <c r="B379" s="318" t="s">
        <v>3730</v>
      </c>
      <c r="C379" s="318" t="s">
        <v>2783</v>
      </c>
    </row>
    <row r="380" spans="1:3" ht="16.350000000000001" customHeight="1">
      <c r="A380" s="318" t="s">
        <v>3741</v>
      </c>
      <c r="B380" s="318" t="s">
        <v>3730</v>
      </c>
      <c r="C380" s="318" t="s">
        <v>2783</v>
      </c>
    </row>
    <row r="381" spans="1:3" ht="16.350000000000001" customHeight="1">
      <c r="A381" s="318" t="s">
        <v>3741</v>
      </c>
      <c r="B381" s="318" t="s">
        <v>3730</v>
      </c>
      <c r="C381" s="318" t="s">
        <v>2783</v>
      </c>
    </row>
  </sheetData>
  <sheetProtection password="993C" sheet="1" objects="1" scenarios="1"/>
  <autoFilter ref="A1:F64" xr:uid="{1E9C0D46-ABEB-488C-8330-8BC9B1A2BBC3}"/>
  <pageMargins left="0.7" right="0.7" top="0.78740157499999996" bottom="0.78740157499999996"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T686"/>
  <sheetViews>
    <sheetView workbookViewId="0"/>
  </sheetViews>
  <sheetFormatPr defaultColWidth="8.5703125" defaultRowHeight="15"/>
  <cols>
    <col min="1" max="1" width="16.42578125" style="445" customWidth="1"/>
    <col min="2" max="2" width="32" style="445" customWidth="1"/>
    <col min="3" max="3" width="9.42578125" style="445" bestFit="1" customWidth="1"/>
    <col min="4" max="4" width="9.5703125" style="445" bestFit="1" customWidth="1"/>
    <col min="5" max="5" width="9.42578125" style="445" bestFit="1" customWidth="1"/>
    <col min="6" max="6" width="11" style="445" customWidth="1"/>
    <col min="7" max="7" width="10.140625" style="445" bestFit="1" customWidth="1"/>
    <col min="8" max="8" width="9.5703125" style="445" bestFit="1" customWidth="1"/>
    <col min="9" max="9" width="10.5703125" style="445" customWidth="1"/>
    <col min="10" max="10" width="9.5703125" style="445" bestFit="1" customWidth="1"/>
    <col min="11" max="11" width="10.42578125" style="445" bestFit="1" customWidth="1"/>
    <col min="12" max="12" width="12" style="445" customWidth="1"/>
    <col min="13" max="13" width="58.7109375" style="445" customWidth="1"/>
    <col min="14" max="14" width="21.5703125" style="445" bestFit="1" customWidth="1"/>
    <col min="15" max="15" width="35.42578125" style="445" customWidth="1"/>
    <col min="16" max="16" width="34.85546875" style="445" customWidth="1"/>
    <col min="17" max="17" width="29" style="445" customWidth="1"/>
    <col min="18" max="19" width="8.5703125" style="445"/>
    <col min="20" max="20" width="18.5703125" style="445" bestFit="1" customWidth="1"/>
    <col min="21" max="21" width="21.140625" style="445" customWidth="1"/>
    <col min="22" max="16384" width="8.5703125" style="445"/>
  </cols>
  <sheetData>
    <row r="1" spans="1:17">
      <c r="D1" s="445">
        <f>Hlavní!V39</f>
        <v>1</v>
      </c>
      <c r="M1" s="487"/>
    </row>
    <row r="2" spans="1:17">
      <c r="M2" s="487"/>
    </row>
    <row r="3" spans="1:17">
      <c r="B3" s="446"/>
      <c r="C3" s="446"/>
      <c r="D3" s="446"/>
      <c r="E3" s="446"/>
      <c r="F3" s="446"/>
      <c r="G3" s="480" t="s">
        <v>32</v>
      </c>
      <c r="H3" s="481">
        <v>25</v>
      </c>
      <c r="I3" s="480" t="s">
        <v>32</v>
      </c>
      <c r="J3" s="481">
        <v>6.5</v>
      </c>
      <c r="K3" s="480" t="s">
        <v>1008</v>
      </c>
      <c r="L3" s="481">
        <v>9.1999999999999993</v>
      </c>
      <c r="M3" s="487"/>
    </row>
    <row r="4" spans="1:17">
      <c r="B4" s="482" t="s">
        <v>33</v>
      </c>
      <c r="C4" s="616" t="s">
        <v>34</v>
      </c>
      <c r="D4" s="617"/>
      <c r="E4" s="616" t="s">
        <v>34</v>
      </c>
      <c r="F4" s="617"/>
      <c r="G4" s="616" t="s">
        <v>35</v>
      </c>
      <c r="H4" s="617"/>
      <c r="I4" s="616" t="s">
        <v>36</v>
      </c>
      <c r="J4" s="617"/>
      <c r="K4" s="616" t="s">
        <v>37</v>
      </c>
      <c r="L4" s="617"/>
      <c r="M4" s="487"/>
    </row>
    <row r="5" spans="1:17" ht="15.75" thickBot="1">
      <c r="B5" s="488" t="s">
        <v>38</v>
      </c>
      <c r="C5" s="483" t="s">
        <v>39</v>
      </c>
      <c r="D5" s="484" t="s">
        <v>40</v>
      </c>
      <c r="E5" s="483" t="s">
        <v>39</v>
      </c>
      <c r="F5" s="484" t="s">
        <v>40</v>
      </c>
      <c r="G5" s="483" t="s">
        <v>39</v>
      </c>
      <c r="H5" s="484" t="s">
        <v>40</v>
      </c>
      <c r="I5" s="483" t="s">
        <v>39</v>
      </c>
      <c r="J5" s="484" t="s">
        <v>40</v>
      </c>
      <c r="K5" s="483" t="s">
        <v>39</v>
      </c>
      <c r="L5" s="484" t="s">
        <v>40</v>
      </c>
      <c r="M5" s="487" t="s">
        <v>78</v>
      </c>
      <c r="N5" s="445" t="s">
        <v>79</v>
      </c>
      <c r="O5" s="445" t="s">
        <v>80</v>
      </c>
      <c r="P5" s="445" t="s">
        <v>81</v>
      </c>
      <c r="Q5" s="445" t="s">
        <v>2584</v>
      </c>
    </row>
    <row r="6" spans="1:17" ht="15.75" thickBot="1">
      <c r="A6" s="609" t="s">
        <v>1989</v>
      </c>
      <c r="B6" s="489" t="str">
        <f>IF($D$1=1,M6,IF($D$1=2,N6,IF($D$1=3,O6,IF($D$1=4,P6,IF($D$1=5,Q6,0)))))</f>
        <v>BRW (elox.)</v>
      </c>
      <c r="C6" s="482">
        <f>IF($D$1=1,E6,IF($D$1=2,G6,IF($D$1=3,I6,IF($D$1=4,K6,IF($D$1=5,G6,0)))))</f>
        <v>369.99635399999994</v>
      </c>
      <c r="D6" s="482">
        <f>IF($D$1=1,F6,IF($D$1=2,H6,IF($D$1=3,J6,IF($D$1=4,L6,IF($D$1=5,H6,0)))))</f>
        <v>195.3159</v>
      </c>
      <c r="E6" s="482">
        <v>369.99635399999994</v>
      </c>
      <c r="F6" s="482">
        <v>195.3159</v>
      </c>
      <c r="G6" s="482">
        <v>12.611859712230217</v>
      </c>
      <c r="H6" s="482">
        <v>6.7555305755395683</v>
      </c>
      <c r="I6" s="482">
        <v>45.402000000000001</v>
      </c>
      <c r="J6" s="482">
        <v>29.556000000000001</v>
      </c>
      <c r="K6" s="482">
        <v>4237.8471400066519</v>
      </c>
      <c r="L6" s="482">
        <v>2624.3318777292575</v>
      </c>
      <c r="M6" s="490" t="s">
        <v>984</v>
      </c>
      <c r="N6" s="491" t="s">
        <v>984</v>
      </c>
      <c r="O6" s="491" t="s">
        <v>984</v>
      </c>
      <c r="P6" s="492" t="s">
        <v>984</v>
      </c>
      <c r="Q6" s="445" t="s">
        <v>984</v>
      </c>
    </row>
    <row r="7" spans="1:17" ht="15.75" thickBot="1">
      <c r="A7" s="610"/>
      <c r="B7" s="489" t="str">
        <f t="shared" ref="B7:B70" si="0">IF($D$1=1,M7,IF($D$1=2,N7,IF($D$1=3,O7,IF($D$1=4,P7,IF($D$1=5,Q7,0)))))</f>
        <v>BRW antracit</v>
      </c>
      <c r="C7" s="482">
        <f t="shared" ref="C7:C65" si="1">IF($D$1=1,E7,IF($D$1=2,G7,IF($D$1=3,I7,IF($D$1=4,K7,IF($D$1=5,G7,0)))))</f>
        <v>614.82757049999998</v>
      </c>
      <c r="D7" s="482">
        <f t="shared" ref="D7:D65" si="2">IF($D$1=1,F7,IF($D$1=2,H7,IF($D$1=3,J7,IF($D$1=4,L7,IF($D$1=5,H7,0)))))</f>
        <v>195.3159</v>
      </c>
      <c r="E7" s="482">
        <v>614.82757049999998</v>
      </c>
      <c r="F7" s="482">
        <v>195.3159</v>
      </c>
      <c r="G7" s="482">
        <v>20.957285071942444</v>
      </c>
      <c r="H7" s="482">
        <v>6.7555305755395683</v>
      </c>
      <c r="I7" s="482">
        <v>76.283349999999999</v>
      </c>
      <c r="J7" s="482">
        <v>29.556000000000001</v>
      </c>
      <c r="K7" s="482">
        <v>7120.3289861157309</v>
      </c>
      <c r="L7" s="482">
        <v>2624.3318777292575</v>
      </c>
      <c r="M7" s="493" t="s">
        <v>1393</v>
      </c>
      <c r="N7" s="494" t="s">
        <v>1393</v>
      </c>
      <c r="O7" s="491" t="s">
        <v>1402</v>
      </c>
      <c r="P7" s="495" t="s">
        <v>1393</v>
      </c>
      <c r="Q7" s="445" t="s">
        <v>1696</v>
      </c>
    </row>
    <row r="8" spans="1:17" ht="15.75" thickBot="1">
      <c r="A8" s="610"/>
      <c r="B8" s="489" t="str">
        <f t="shared" si="0"/>
        <v>BRW bílá mat</v>
      </c>
      <c r="C8" s="482">
        <f t="shared" si="1"/>
        <v>496.65001276799995</v>
      </c>
      <c r="D8" s="482">
        <f t="shared" si="2"/>
        <v>156.25272000000001</v>
      </c>
      <c r="E8" s="482">
        <v>496.65001276799995</v>
      </c>
      <c r="F8" s="482">
        <v>156.25272000000001</v>
      </c>
      <c r="G8" s="482">
        <v>16.929032460431653</v>
      </c>
      <c r="H8" s="482">
        <v>5.4044244604316551</v>
      </c>
      <c r="I8" s="482">
        <v>68.366200000000006</v>
      </c>
      <c r="J8" s="482">
        <v>23.644800000000004</v>
      </c>
      <c r="K8" s="482">
        <v>6381.3379398071183</v>
      </c>
      <c r="L8" s="482">
        <v>2099.465502183406</v>
      </c>
      <c r="M8" s="493" t="s">
        <v>1615</v>
      </c>
      <c r="N8" s="494" t="s">
        <v>1616</v>
      </c>
      <c r="O8" s="491" t="s">
        <v>2432</v>
      </c>
      <c r="P8" s="495" t="s">
        <v>1618</v>
      </c>
      <c r="Q8" s="445" t="s">
        <v>1697</v>
      </c>
    </row>
    <row r="9" spans="1:17" ht="15.75" thickBot="1">
      <c r="A9" s="610"/>
      <c r="B9" s="489" t="str">
        <f t="shared" si="0"/>
        <v>BRW bílá lesk</v>
      </c>
      <c r="C9" s="482">
        <f t="shared" si="1"/>
        <v>496.65001276799995</v>
      </c>
      <c r="D9" s="482">
        <f t="shared" si="2"/>
        <v>156.25272000000001</v>
      </c>
      <c r="E9" s="482">
        <v>496.65001276799995</v>
      </c>
      <c r="F9" s="482">
        <v>156.25272000000001</v>
      </c>
      <c r="G9" s="482">
        <v>16.929032460431653</v>
      </c>
      <c r="H9" s="482">
        <v>5.4044244604316551</v>
      </c>
      <c r="I9" s="482">
        <v>68.366200000000006</v>
      </c>
      <c r="J9" s="482">
        <v>23.644800000000004</v>
      </c>
      <c r="K9" s="482">
        <v>6381.3379398071183</v>
      </c>
      <c r="L9" s="482">
        <v>2099.465502183406</v>
      </c>
      <c r="M9" s="493" t="s">
        <v>1619</v>
      </c>
      <c r="N9" s="494" t="s">
        <v>1620</v>
      </c>
      <c r="O9" s="491" t="s">
        <v>2433</v>
      </c>
      <c r="P9" s="495" t="s">
        <v>1622</v>
      </c>
      <c r="Q9" s="445" t="s">
        <v>1698</v>
      </c>
    </row>
    <row r="10" spans="1:17" ht="15.75" thickBot="1">
      <c r="A10" s="610"/>
      <c r="B10" s="489" t="str">
        <f t="shared" si="0"/>
        <v>BRW hnědá</v>
      </c>
      <c r="C10" s="482">
        <f t="shared" si="1"/>
        <v>360.50021864999997</v>
      </c>
      <c r="D10" s="482">
        <f t="shared" si="2"/>
        <v>195.3159</v>
      </c>
      <c r="E10" s="482">
        <v>360.50021864999997</v>
      </c>
      <c r="F10" s="482">
        <v>195.3159</v>
      </c>
      <c r="G10" s="482">
        <v>12.288170233812989</v>
      </c>
      <c r="H10" s="482">
        <v>6.7555305755395683</v>
      </c>
      <c r="I10" s="482">
        <v>46.917749999999998</v>
      </c>
      <c r="J10" s="482">
        <v>29.556000000000001</v>
      </c>
      <c r="K10" s="482">
        <v>4379.328061606253</v>
      </c>
      <c r="L10" s="482">
        <v>2624.3318777292575</v>
      </c>
      <c r="M10" s="493" t="s">
        <v>1403</v>
      </c>
      <c r="N10" s="494" t="s">
        <v>1403</v>
      </c>
      <c r="O10" s="491" t="s">
        <v>1394</v>
      </c>
      <c r="P10" s="495" t="s">
        <v>1404</v>
      </c>
      <c r="Q10" s="445" t="s">
        <v>1699</v>
      </c>
    </row>
    <row r="11" spans="1:17" ht="15.75" thickBot="1">
      <c r="A11" s="610"/>
      <c r="B11" s="489" t="str">
        <f t="shared" si="0"/>
        <v>BRW broušené</v>
      </c>
      <c r="C11" s="482">
        <f t="shared" si="1"/>
        <v>530.74122074999991</v>
      </c>
      <c r="D11" s="482">
        <f t="shared" si="2"/>
        <v>195.3159</v>
      </c>
      <c r="E11" s="482">
        <v>530.74122074999991</v>
      </c>
      <c r="F11" s="482">
        <v>195.3159</v>
      </c>
      <c r="G11" s="482">
        <v>18.091080485611506</v>
      </c>
      <c r="H11" s="482">
        <v>6.7555305755395683</v>
      </c>
      <c r="I11" s="482">
        <v>65.850525000000005</v>
      </c>
      <c r="J11" s="482">
        <v>29.556000000000001</v>
      </c>
      <c r="K11" s="482">
        <v>6146.5234800049893</v>
      </c>
      <c r="L11" s="482">
        <v>2624.3318777292575</v>
      </c>
      <c r="M11" s="496" t="s">
        <v>985</v>
      </c>
      <c r="N11" s="497" t="s">
        <v>986</v>
      </c>
      <c r="O11" s="491" t="s">
        <v>2434</v>
      </c>
      <c r="P11" s="498" t="s">
        <v>988</v>
      </c>
      <c r="Q11" s="445" t="s">
        <v>1700</v>
      </c>
    </row>
    <row r="12" spans="1:17" ht="15.75" thickBot="1">
      <c r="A12" s="610"/>
      <c r="B12" s="489" t="str">
        <f t="shared" si="0"/>
        <v>BRW černá mat</v>
      </c>
      <c r="C12" s="482">
        <f t="shared" si="1"/>
        <v>360.50021864999997</v>
      </c>
      <c r="D12" s="482">
        <f t="shared" si="2"/>
        <v>197.57594999999998</v>
      </c>
      <c r="E12" s="482">
        <v>360.50021864999997</v>
      </c>
      <c r="F12" s="482">
        <v>197.57594999999998</v>
      </c>
      <c r="G12" s="482">
        <v>12.288170233812949</v>
      </c>
      <c r="H12" s="482">
        <v>6.833700539568345</v>
      </c>
      <c r="I12" s="482">
        <v>45.041040000000002</v>
      </c>
      <c r="J12" s="482">
        <v>29.897999999999996</v>
      </c>
      <c r="K12" s="482">
        <v>4204.1549391420021</v>
      </c>
      <c r="L12" s="482">
        <v>2654.6986899563317</v>
      </c>
      <c r="M12" s="496" t="s">
        <v>1607</v>
      </c>
      <c r="N12" s="497" t="s">
        <v>1608</v>
      </c>
      <c r="O12" s="491" t="s">
        <v>2435</v>
      </c>
      <c r="P12" s="498" t="s">
        <v>1610</v>
      </c>
      <c r="Q12" s="445" t="s">
        <v>1701</v>
      </c>
    </row>
    <row r="13" spans="1:17" ht="15.75" thickBot="1">
      <c r="A13" s="610"/>
      <c r="B13" s="489" t="str">
        <f t="shared" si="0"/>
        <v>BRW zlatá</v>
      </c>
      <c r="C13" s="482">
        <f t="shared" si="1"/>
        <v>684.75589649999984</v>
      </c>
      <c r="D13" s="482">
        <f t="shared" si="2"/>
        <v>195.3159</v>
      </c>
      <c r="E13" s="482">
        <v>684.75589649999984</v>
      </c>
      <c r="F13" s="482">
        <v>195.3159</v>
      </c>
      <c r="G13" s="482">
        <v>23.340892985611511</v>
      </c>
      <c r="H13" s="482">
        <v>6.7555305755395683</v>
      </c>
      <c r="I13" s="482">
        <v>91.494900000000015</v>
      </c>
      <c r="J13" s="482">
        <v>29.556000000000001</v>
      </c>
      <c r="K13" s="482">
        <v>8540.1832582307961</v>
      </c>
      <c r="L13" s="482">
        <v>2624.3318777292575</v>
      </c>
      <c r="M13" s="499" t="s">
        <v>2808</v>
      </c>
      <c r="N13" s="500" t="s">
        <v>2808</v>
      </c>
      <c r="O13" s="497" t="s">
        <v>2809</v>
      </c>
      <c r="P13" s="497" t="s">
        <v>2810</v>
      </c>
      <c r="Q13" s="491" t="s">
        <v>2811</v>
      </c>
    </row>
    <row r="14" spans="1:17" ht="15.75" thickBot="1">
      <c r="A14" s="610"/>
      <c r="B14" s="489" t="str">
        <f t="shared" si="0"/>
        <v>BRW černá broušená</v>
      </c>
      <c r="C14" s="482">
        <f t="shared" si="1"/>
        <v>389.21022855000001</v>
      </c>
      <c r="D14" s="482">
        <f t="shared" si="2"/>
        <v>197.57594999999998</v>
      </c>
      <c r="E14" s="482">
        <v>389.21022855000001</v>
      </c>
      <c r="F14" s="482">
        <v>197.57594999999998</v>
      </c>
      <c r="G14" s="482">
        <v>13.266792356115108</v>
      </c>
      <c r="H14" s="482">
        <v>6.833700539568345</v>
      </c>
      <c r="I14" s="482">
        <v>50.654250000000005</v>
      </c>
      <c r="J14" s="482">
        <v>29.897999999999996</v>
      </c>
      <c r="K14" s="482">
        <v>4728.0949846192216</v>
      </c>
      <c r="L14" s="482">
        <v>2654.6986899563317</v>
      </c>
      <c r="M14" s="496" t="s">
        <v>989</v>
      </c>
      <c r="N14" s="497" t="s">
        <v>990</v>
      </c>
      <c r="O14" s="491" t="s">
        <v>991</v>
      </c>
      <c r="P14" s="498" t="s">
        <v>992</v>
      </c>
      <c r="Q14" s="445" t="s">
        <v>1703</v>
      </c>
    </row>
    <row r="15" spans="1:17" ht="15.75" thickBot="1">
      <c r="A15" s="610"/>
      <c r="B15" s="489" t="str">
        <f t="shared" si="0"/>
        <v>BRW světlá nerez (ACIER GRATA)</v>
      </c>
      <c r="C15" s="482">
        <f t="shared" si="1"/>
        <v>512.88979949999987</v>
      </c>
      <c r="D15" s="482">
        <f t="shared" si="2"/>
        <v>195.3159</v>
      </c>
      <c r="E15" s="482">
        <v>512.88979949999987</v>
      </c>
      <c r="F15" s="482">
        <v>195.3159</v>
      </c>
      <c r="G15" s="482">
        <v>17.482589028776975</v>
      </c>
      <c r="H15" s="482">
        <v>6.7555305755395683</v>
      </c>
      <c r="I15" s="482">
        <v>63.635650000000005</v>
      </c>
      <c r="J15" s="482">
        <v>29.556000000000001</v>
      </c>
      <c r="K15" s="482">
        <v>5939.7858542567355</v>
      </c>
      <c r="L15" s="482">
        <v>2624.3318777292575</v>
      </c>
      <c r="M15" s="496" t="s">
        <v>1405</v>
      </c>
      <c r="N15" s="497" t="s">
        <v>1406</v>
      </c>
      <c r="O15" s="491" t="s">
        <v>1407</v>
      </c>
      <c r="P15" s="498" t="s">
        <v>1408</v>
      </c>
      <c r="Q15" s="445" t="s">
        <v>2513</v>
      </c>
    </row>
    <row r="16" spans="1:17" ht="15.75" thickBot="1">
      <c r="A16" s="610"/>
      <c r="B16" s="489">
        <f t="shared" si="0"/>
        <v>0</v>
      </c>
      <c r="C16" s="482">
        <f>IF($D$1=1,E16,IF($D$1=2,G16,IF($D$1=3,I16,IF($D$1=4,K16,IF($D$1=5,G16,0)))))</f>
        <v>373.68154394999988</v>
      </c>
      <c r="D16" s="482">
        <f t="shared" si="2"/>
        <v>195.3159</v>
      </c>
      <c r="E16" s="482">
        <v>373.68154394999988</v>
      </c>
      <c r="F16" s="482">
        <v>195.3159</v>
      </c>
      <c r="G16" s="482">
        <v>12.737474730215826</v>
      </c>
      <c r="H16" s="482">
        <v>6.7555305755395683</v>
      </c>
      <c r="I16" s="482">
        <v>48.633250000000004</v>
      </c>
      <c r="J16" s="482">
        <v>29.556000000000001</v>
      </c>
      <c r="K16" s="482">
        <v>4539.4537558197544</v>
      </c>
      <c r="L16" s="482">
        <v>2624.3318777292575</v>
      </c>
      <c r="M16" s="496"/>
      <c r="N16" s="497"/>
      <c r="O16" s="491"/>
      <c r="P16" s="498"/>
    </row>
    <row r="17" spans="1:17" ht="15.75" thickBot="1">
      <c r="A17" s="610"/>
      <c r="B17" s="489" t="str">
        <f t="shared" si="0"/>
        <v>BRW tmavá nerez br. (Inox lija)</v>
      </c>
      <c r="C17" s="482">
        <f>IF($D$1=1,E17,IF($D$1=2,G17,IF($D$1=3,I17,IF($D$1=4,K17,IF($D$1=5,G17,0)))))</f>
        <v>419.56829999999997</v>
      </c>
      <c r="D17" s="482">
        <f t="shared" si="2"/>
        <v>195.3159</v>
      </c>
      <c r="E17" s="482">
        <v>419.56829999999997</v>
      </c>
      <c r="F17" s="482">
        <v>195.3159</v>
      </c>
      <c r="G17" s="482">
        <v>14.3004</v>
      </c>
      <c r="H17" s="482">
        <v>6.7555305755395683</v>
      </c>
      <c r="I17" s="482">
        <v>54.602249999999998</v>
      </c>
      <c r="J17" s="482">
        <v>29.556000000000001</v>
      </c>
      <c r="K17" s="482">
        <v>5096.6034315763227</v>
      </c>
      <c r="L17" s="482">
        <v>2624.3318777292575</v>
      </c>
      <c r="M17" s="496" t="s">
        <v>1409</v>
      </c>
      <c r="N17" s="497" t="s">
        <v>1410</v>
      </c>
      <c r="O17" s="491" t="s">
        <v>2437</v>
      </c>
      <c r="P17" s="498" t="s">
        <v>618</v>
      </c>
      <c r="Q17" s="445" t="s">
        <v>2627</v>
      </c>
    </row>
    <row r="18" spans="1:17" ht="15.75" thickBot="1">
      <c r="A18" s="610"/>
      <c r="B18" s="489" t="str">
        <f t="shared" si="0"/>
        <v>Corleone (elox.)</v>
      </c>
      <c r="C18" s="482">
        <f t="shared" si="1"/>
        <v>445.76188955999999</v>
      </c>
      <c r="D18" s="482">
        <f t="shared" si="2"/>
        <v>244.56119999999996</v>
      </c>
      <c r="E18" s="482">
        <v>445.76188955999999</v>
      </c>
      <c r="F18" s="482">
        <v>244.56119999999996</v>
      </c>
      <c r="G18" s="482">
        <v>15.194437338129497</v>
      </c>
      <c r="H18" s="482">
        <v>8.4588129496402864</v>
      </c>
      <c r="I18" s="482">
        <v>55.013500000000001</v>
      </c>
      <c r="J18" s="482">
        <v>37.007999999999996</v>
      </c>
      <c r="K18" s="482">
        <v>5134.9897281343528</v>
      </c>
      <c r="L18" s="482">
        <v>3286.0087336244533</v>
      </c>
      <c r="M18" s="496" t="s">
        <v>993</v>
      </c>
      <c r="N18" s="497" t="s">
        <v>993</v>
      </c>
      <c r="O18" s="491" t="s">
        <v>993</v>
      </c>
      <c r="P18" s="498" t="s">
        <v>993</v>
      </c>
      <c r="Q18" s="445" t="s">
        <v>993</v>
      </c>
    </row>
    <row r="19" spans="1:17">
      <c r="A19" s="610"/>
      <c r="B19" s="489" t="str">
        <f t="shared" si="0"/>
        <v>Corleone černé mat</v>
      </c>
      <c r="C19" s="482">
        <f t="shared" si="1"/>
        <v>636.62354027999993</v>
      </c>
      <c r="D19" s="482">
        <f t="shared" si="2"/>
        <v>246.82124999999999</v>
      </c>
      <c r="E19" s="482">
        <v>636.62354027999993</v>
      </c>
      <c r="F19" s="482">
        <v>246.82124999999999</v>
      </c>
      <c r="G19" s="482">
        <v>21.70023215827338</v>
      </c>
      <c r="H19" s="482">
        <v>8.536982913669064</v>
      </c>
      <c r="I19" s="482">
        <v>82.459620000000015</v>
      </c>
      <c r="J19" s="482">
        <v>37.35</v>
      </c>
      <c r="K19" s="482">
        <v>7696.825355337548</v>
      </c>
      <c r="L19" s="482">
        <v>3316.3755458515284</v>
      </c>
      <c r="M19" s="496" t="s">
        <v>1641</v>
      </c>
      <c r="N19" s="497" t="s">
        <v>1642</v>
      </c>
      <c r="O19" s="491" t="s">
        <v>2438</v>
      </c>
      <c r="P19" s="498" t="s">
        <v>1644</v>
      </c>
      <c r="Q19" s="445" t="s">
        <v>1707</v>
      </c>
    </row>
    <row r="20" spans="1:17" ht="15.75" thickBot="1">
      <c r="A20" s="610"/>
      <c r="B20" s="489"/>
      <c r="C20" s="482"/>
      <c r="D20" s="482"/>
      <c r="E20" s="482"/>
      <c r="F20" s="482"/>
      <c r="G20" s="482"/>
      <c r="H20" s="482"/>
      <c r="I20" s="482"/>
      <c r="J20" s="482"/>
      <c r="K20" s="482"/>
      <c r="L20" s="482"/>
      <c r="M20" s="496" t="s">
        <v>677</v>
      </c>
      <c r="N20" s="497"/>
      <c r="O20" s="497"/>
      <c r="P20" s="497"/>
      <c r="Q20" s="497"/>
    </row>
    <row r="21" spans="1:17" ht="15.75" thickBot="1">
      <c r="A21" s="610"/>
      <c r="B21" s="497" t="s">
        <v>997</v>
      </c>
      <c r="C21" s="482">
        <f t="shared" si="1"/>
        <v>444.28067301149997</v>
      </c>
      <c r="D21" s="482">
        <f t="shared" si="2"/>
        <v>244.56119999999996</v>
      </c>
      <c r="E21" s="482">
        <v>444.28067301149997</v>
      </c>
      <c r="F21" s="482">
        <v>244.56119999999996</v>
      </c>
      <c r="G21" s="482">
        <v>15.143947934352516</v>
      </c>
      <c r="H21" s="482">
        <v>8.4588129496402864</v>
      </c>
      <c r="I21" s="482">
        <v>53.901362500000005</v>
      </c>
      <c r="J21" s="482">
        <v>37.007999999999996</v>
      </c>
      <c r="K21" s="482">
        <v>5031.1822147281346</v>
      </c>
      <c r="L21" s="482">
        <v>3286.0087336244533</v>
      </c>
      <c r="M21" s="497" t="s">
        <v>997</v>
      </c>
      <c r="N21" s="497" t="s">
        <v>997</v>
      </c>
      <c r="O21" s="491" t="s">
        <v>997</v>
      </c>
      <c r="P21" s="498" t="s">
        <v>997</v>
      </c>
      <c r="Q21" s="445" t="s">
        <v>997</v>
      </c>
    </row>
    <row r="22" spans="1:17" ht="15.75" thickBot="1">
      <c r="A22" s="610"/>
      <c r="B22" s="489" t="str">
        <f t="shared" si="0"/>
        <v>Imola černá mat</v>
      </c>
      <c r="C22" s="482">
        <f t="shared" si="1"/>
        <v>566.46064250100005</v>
      </c>
      <c r="D22" s="482">
        <f t="shared" si="2"/>
        <v>244.56119999999996</v>
      </c>
      <c r="E22" s="482">
        <v>566.46064250100005</v>
      </c>
      <c r="F22" s="482">
        <v>244.56119999999996</v>
      </c>
      <c r="G22" s="482">
        <v>19.308628526978417</v>
      </c>
      <c r="H22" s="482">
        <v>8.4588129496402864</v>
      </c>
      <c r="I22" s="482">
        <v>68.724575000000002</v>
      </c>
      <c r="J22" s="482">
        <v>37.007999999999996</v>
      </c>
      <c r="K22" s="482">
        <v>6414.7888553791154</v>
      </c>
      <c r="L22" s="482">
        <v>3286.0087336244533</v>
      </c>
      <c r="M22" s="496" t="s">
        <v>1587</v>
      </c>
      <c r="N22" s="497" t="s">
        <v>1588</v>
      </c>
      <c r="O22" s="491" t="s">
        <v>2440</v>
      </c>
      <c r="P22" s="498" t="s">
        <v>1590</v>
      </c>
      <c r="Q22" s="445" t="s">
        <v>1709</v>
      </c>
    </row>
    <row r="23" spans="1:17" ht="15.75" thickBot="1">
      <c r="A23" s="610"/>
      <c r="B23" s="489" t="str">
        <f t="shared" si="0"/>
        <v>Imola bílá mat</v>
      </c>
      <c r="C23" s="482">
        <f t="shared" si="1"/>
        <v>813.80320515000005</v>
      </c>
      <c r="D23" s="482">
        <f t="shared" si="2"/>
        <v>244.56119999999996</v>
      </c>
      <c r="E23" s="482">
        <v>813.80320515000005</v>
      </c>
      <c r="F23" s="482">
        <v>244.56119999999996</v>
      </c>
      <c r="G23" s="482">
        <v>27.739656744604314</v>
      </c>
      <c r="H23" s="482">
        <v>8.4588129496402864</v>
      </c>
      <c r="I23" s="482">
        <v>100.97080500000001</v>
      </c>
      <c r="J23" s="482">
        <v>37.007999999999996</v>
      </c>
      <c r="K23" s="482">
        <v>9424.6693360076515</v>
      </c>
      <c r="L23" s="482">
        <v>3286.0087336244533</v>
      </c>
      <c r="M23" s="493" t="s">
        <v>1636</v>
      </c>
      <c r="N23" s="494" t="s">
        <v>1637</v>
      </c>
      <c r="O23" s="491" t="s">
        <v>2441</v>
      </c>
      <c r="P23" s="495" t="s">
        <v>1639</v>
      </c>
      <c r="Q23" s="445" t="s">
        <v>1710</v>
      </c>
    </row>
    <row r="24" spans="1:17" ht="15.75" thickBot="1">
      <c r="A24" s="610"/>
      <c r="B24" s="489" t="str">
        <f t="shared" si="0"/>
        <v>Modena (elox.)</v>
      </c>
      <c r="C24" s="482">
        <f t="shared" si="1"/>
        <v>573.36220714499984</v>
      </c>
      <c r="D24" s="482">
        <f t="shared" si="2"/>
        <v>244.56119999999996</v>
      </c>
      <c r="E24" s="482">
        <v>573.36220714499984</v>
      </c>
      <c r="F24" s="482">
        <v>244.56119999999996</v>
      </c>
      <c r="G24" s="482">
        <v>19.543878318345325</v>
      </c>
      <c r="H24" s="482">
        <v>8.4588129496402864</v>
      </c>
      <c r="I24" s="482">
        <v>70.356884999999991</v>
      </c>
      <c r="J24" s="482">
        <v>37.007999999999996</v>
      </c>
      <c r="K24" s="482">
        <v>7661.6744752036921</v>
      </c>
      <c r="L24" s="482">
        <v>3286.0087336244533</v>
      </c>
      <c r="M24" s="496" t="s">
        <v>998</v>
      </c>
      <c r="N24" s="497" t="s">
        <v>998</v>
      </c>
      <c r="O24" s="491" t="s">
        <v>998</v>
      </c>
      <c r="P24" s="498" t="s">
        <v>998</v>
      </c>
      <c r="Q24" s="445" t="s">
        <v>998</v>
      </c>
    </row>
    <row r="25" spans="1:17" ht="15.75" thickBot="1">
      <c r="A25" s="610"/>
      <c r="B25" s="489" t="str">
        <f t="shared" si="0"/>
        <v>Modena černá mat</v>
      </c>
      <c r="C25" s="482">
        <f t="shared" si="1"/>
        <v>577.01308953599994</v>
      </c>
      <c r="D25" s="482">
        <f t="shared" si="2"/>
        <v>246.82124999999999</v>
      </c>
      <c r="E25" s="482">
        <v>577.01308953599994</v>
      </c>
      <c r="F25" s="482">
        <v>246.82124999999999</v>
      </c>
      <c r="G25" s="482">
        <v>19.66832391366906</v>
      </c>
      <c r="H25" s="482">
        <v>8.536982913669064</v>
      </c>
      <c r="I25" s="482">
        <v>73.570698000000007</v>
      </c>
      <c r="J25" s="482">
        <v>37.35</v>
      </c>
      <c r="K25" s="482">
        <v>7710.4601678749586</v>
      </c>
      <c r="L25" s="482">
        <v>3316.3755458515284</v>
      </c>
      <c r="M25" s="496" t="s">
        <v>1599</v>
      </c>
      <c r="N25" s="497" t="s">
        <v>1600</v>
      </c>
      <c r="O25" s="491" t="s">
        <v>2442</v>
      </c>
      <c r="P25" s="498" t="s">
        <v>1602</v>
      </c>
      <c r="Q25" s="445" t="s">
        <v>1712</v>
      </c>
    </row>
    <row r="26" spans="1:17" ht="15.75" thickBot="1">
      <c r="A26" s="610"/>
      <c r="B26" s="489" t="str">
        <f t="shared" si="0"/>
        <v>Verona zlatá</v>
      </c>
      <c r="C26" s="482">
        <f t="shared" si="1"/>
        <v>648.49411984499977</v>
      </c>
      <c r="D26" s="482">
        <f t="shared" si="2"/>
        <v>195.3159</v>
      </c>
      <c r="E26" s="482">
        <v>648.49411984499977</v>
      </c>
      <c r="F26" s="482">
        <v>195.3159</v>
      </c>
      <c r="G26" s="482">
        <v>22.104857994604313</v>
      </c>
      <c r="H26" s="482">
        <v>6.7555305755395683</v>
      </c>
      <c r="I26" s="482">
        <v>82.523539999999997</v>
      </c>
      <c r="J26" s="482">
        <v>29.556000000000001</v>
      </c>
      <c r="K26" s="482">
        <v>8665.6406428957416</v>
      </c>
      <c r="L26" s="482">
        <v>2624.3318777292575</v>
      </c>
      <c r="M26" s="499" t="s">
        <v>2812</v>
      </c>
      <c r="N26" s="500" t="s">
        <v>2812</v>
      </c>
      <c r="O26" s="497" t="s">
        <v>2813</v>
      </c>
      <c r="P26" s="497" t="s">
        <v>2814</v>
      </c>
      <c r="Q26" s="491" t="s">
        <v>2815</v>
      </c>
    </row>
    <row r="27" spans="1:17" ht="15.75" thickBot="1">
      <c r="A27" s="610"/>
      <c r="B27" s="489" t="str">
        <f t="shared" si="0"/>
        <v>Modena černá broušená</v>
      </c>
      <c r="C27" s="482">
        <f t="shared" si="1"/>
        <v>594.81633246749982</v>
      </c>
      <c r="D27" s="482">
        <f t="shared" si="2"/>
        <v>244.56119999999996</v>
      </c>
      <c r="E27" s="482">
        <v>594.81633246749982</v>
      </c>
      <c r="F27" s="482">
        <v>244.56119999999996</v>
      </c>
      <c r="G27" s="482">
        <v>20.275173142985604</v>
      </c>
      <c r="H27" s="482">
        <v>8.4588129496402864</v>
      </c>
      <c r="I27" s="482">
        <v>77.413112499999997</v>
      </c>
      <c r="J27" s="482">
        <v>37.007999999999996</v>
      </c>
      <c r="K27" s="482">
        <v>7948.3597891690215</v>
      </c>
      <c r="L27" s="482">
        <v>3286.0087336244533</v>
      </c>
      <c r="M27" s="493" t="s">
        <v>681</v>
      </c>
      <c r="N27" s="494" t="s">
        <v>682</v>
      </c>
      <c r="O27" s="491" t="s">
        <v>683</v>
      </c>
      <c r="P27" s="495" t="s">
        <v>684</v>
      </c>
      <c r="Q27" s="445" t="s">
        <v>2779</v>
      </c>
    </row>
    <row r="28" spans="1:17" ht="15.75" thickBot="1">
      <c r="A28" s="610"/>
      <c r="B28" s="489" t="str">
        <f t="shared" si="0"/>
        <v>Modena tmavá nerez br. (inox lija)</v>
      </c>
      <c r="C28" s="482">
        <f t="shared" si="1"/>
        <v>709.95825000000002</v>
      </c>
      <c r="D28" s="482">
        <f t="shared" si="2"/>
        <v>244.56119999999996</v>
      </c>
      <c r="E28" s="482">
        <v>709.95825000000002</v>
      </c>
      <c r="F28" s="482">
        <v>244.56119999999996</v>
      </c>
      <c r="G28" s="482">
        <v>24.204599999999999</v>
      </c>
      <c r="H28" s="482">
        <v>8.4588129496402864</v>
      </c>
      <c r="I28" s="482">
        <v>93.176325000000006</v>
      </c>
      <c r="J28" s="482">
        <v>37.007999999999996</v>
      </c>
      <c r="K28" s="482">
        <v>9486.8990064848695</v>
      </c>
      <c r="L28" s="482">
        <v>3286.0087336244533</v>
      </c>
      <c r="M28" s="493" t="s">
        <v>1411</v>
      </c>
      <c r="N28" s="494" t="s">
        <v>1412</v>
      </c>
      <c r="O28" s="491" t="s">
        <v>2443</v>
      </c>
      <c r="P28" s="495" t="s">
        <v>680</v>
      </c>
      <c r="Q28" s="445" t="s">
        <v>2780</v>
      </c>
    </row>
    <row r="29" spans="1:17" ht="15.75" thickBot="1">
      <c r="A29" s="610"/>
      <c r="B29" s="489" t="str">
        <f t="shared" si="0"/>
        <v>Palio (elox.)</v>
      </c>
      <c r="C29" s="482">
        <f t="shared" si="1"/>
        <v>475.10552231999998</v>
      </c>
      <c r="D29" s="482">
        <f t="shared" si="2"/>
        <v>244.56119999999996</v>
      </c>
      <c r="E29" s="482">
        <v>475.10552231999998</v>
      </c>
      <c r="F29" s="482">
        <v>244.56119999999996</v>
      </c>
      <c r="G29" s="482">
        <v>16.194657410071944</v>
      </c>
      <c r="H29" s="482">
        <v>8.4588129496402864</v>
      </c>
      <c r="I29" s="482">
        <v>62.784480000000002</v>
      </c>
      <c r="J29" s="482">
        <v>37.007999999999996</v>
      </c>
      <c r="K29" s="482">
        <v>6348.6986202194885</v>
      </c>
      <c r="L29" s="482">
        <v>3286.0087336244533</v>
      </c>
      <c r="M29" s="496" t="s">
        <v>999</v>
      </c>
      <c r="N29" s="494" t="s">
        <v>999</v>
      </c>
      <c r="O29" s="491" t="s">
        <v>999</v>
      </c>
      <c r="P29" s="495" t="s">
        <v>999</v>
      </c>
      <c r="Q29" s="445" t="s">
        <v>999</v>
      </c>
    </row>
    <row r="30" spans="1:17" ht="15.75" thickBot="1">
      <c r="A30" s="610"/>
      <c r="B30" s="489" t="str">
        <f t="shared" si="0"/>
        <v>Palio černá mat</v>
      </c>
      <c r="C30" s="482">
        <f t="shared" si="1"/>
        <v>549.7088688</v>
      </c>
      <c r="D30" s="482">
        <f t="shared" si="2"/>
        <v>246.82124999999999</v>
      </c>
      <c r="E30" s="482">
        <v>549.7088688</v>
      </c>
      <c r="F30" s="482">
        <v>246.82124999999999</v>
      </c>
      <c r="G30" s="482">
        <v>18.737620143884893</v>
      </c>
      <c r="H30" s="482">
        <v>8.536982913669064</v>
      </c>
      <c r="I30" s="482">
        <v>73.075600000000009</v>
      </c>
      <c r="J30" s="482">
        <v>37.35</v>
      </c>
      <c r="K30" s="482">
        <v>7345.6017093448618</v>
      </c>
      <c r="L30" s="482">
        <v>3316.3755458515284</v>
      </c>
      <c r="M30" s="496" t="s">
        <v>2039</v>
      </c>
      <c r="N30" s="494" t="s">
        <v>2223</v>
      </c>
      <c r="O30" s="491" t="s">
        <v>2444</v>
      </c>
      <c r="P30" s="495" t="s">
        <v>2224</v>
      </c>
      <c r="Q30" s="445" t="s">
        <v>2628</v>
      </c>
    </row>
    <row r="31" spans="1:17" ht="15.75" thickBot="1">
      <c r="A31" s="610"/>
      <c r="B31" s="489" t="str">
        <f t="shared" si="0"/>
        <v>Pisa (elox.)</v>
      </c>
      <c r="C31" s="482">
        <f t="shared" si="1"/>
        <v>453.30216574499991</v>
      </c>
      <c r="D31" s="482">
        <f t="shared" si="2"/>
        <v>244.56119999999996</v>
      </c>
      <c r="E31" s="482">
        <v>453.30216574499991</v>
      </c>
      <c r="F31" s="482">
        <v>244.56119999999996</v>
      </c>
      <c r="G31" s="482">
        <v>15.451458534172662</v>
      </c>
      <c r="H31" s="482">
        <v>8.4588129496402864</v>
      </c>
      <c r="I31" s="482">
        <v>56.635751999999997</v>
      </c>
      <c r="J31" s="482">
        <v>37.007999999999996</v>
      </c>
      <c r="K31" s="482">
        <v>6057.3466293440315</v>
      </c>
      <c r="L31" s="482">
        <v>3286.0087336244533</v>
      </c>
      <c r="M31" s="496" t="s">
        <v>1000</v>
      </c>
      <c r="N31" s="494" t="s">
        <v>1000</v>
      </c>
      <c r="O31" s="491" t="s">
        <v>1000</v>
      </c>
      <c r="P31" s="495" t="s">
        <v>1000</v>
      </c>
      <c r="Q31" s="445" t="s">
        <v>1000</v>
      </c>
    </row>
    <row r="32" spans="1:17" ht="15.75" thickBot="1">
      <c r="A32" s="610"/>
      <c r="B32" s="489" t="str">
        <f t="shared" si="0"/>
        <v>Pisa černá mat</v>
      </c>
      <c r="C32" s="482">
        <f t="shared" si="1"/>
        <v>561.5600785470001</v>
      </c>
      <c r="D32" s="482">
        <f t="shared" si="2"/>
        <v>246.82124999999999</v>
      </c>
      <c r="E32" s="482">
        <v>561.5600785470001</v>
      </c>
      <c r="F32" s="482">
        <v>246.82124999999999</v>
      </c>
      <c r="G32" s="482">
        <v>19.141585732014391</v>
      </c>
      <c r="H32" s="482">
        <v>8.536982913669064</v>
      </c>
      <c r="I32" s="482">
        <v>72.217826500000001</v>
      </c>
      <c r="J32" s="482">
        <v>37.35</v>
      </c>
      <c r="K32" s="482">
        <v>7503.9660209220183</v>
      </c>
      <c r="L32" s="482">
        <v>3316.3755458515284</v>
      </c>
      <c r="M32" s="496" t="s">
        <v>1591</v>
      </c>
      <c r="N32" s="497" t="s">
        <v>1592</v>
      </c>
      <c r="O32" s="491" t="s">
        <v>2445</v>
      </c>
      <c r="P32" s="498" t="s">
        <v>1594</v>
      </c>
      <c r="Q32" s="445" t="s">
        <v>1718</v>
      </c>
    </row>
    <row r="33" spans="1:17" ht="15.75" thickBot="1">
      <c r="A33" s="610"/>
      <c r="B33" s="489" t="str">
        <f t="shared" si="0"/>
        <v>Vivaro zlatá</v>
      </c>
      <c r="C33" s="482">
        <f t="shared" si="1"/>
        <v>959.65916582250009</v>
      </c>
      <c r="D33" s="482">
        <f t="shared" si="2"/>
        <v>244.56119999999996</v>
      </c>
      <c r="E33" s="482">
        <v>959.65916582250009</v>
      </c>
      <c r="F33" s="482">
        <v>244.56119999999996</v>
      </c>
      <c r="G33" s="482">
        <v>32.711367666366911</v>
      </c>
      <c r="H33" s="482">
        <v>8.4588129496402864</v>
      </c>
      <c r="I33" s="482">
        <v>124.89603750000002</v>
      </c>
      <c r="J33" s="482">
        <v>37.007999999999996</v>
      </c>
      <c r="K33" s="482">
        <v>12823.649769818345</v>
      </c>
      <c r="L33" s="482">
        <v>3286.0087336244533</v>
      </c>
      <c r="M33" s="499" t="s">
        <v>2816</v>
      </c>
      <c r="N33" s="500" t="s">
        <v>2816</v>
      </c>
      <c r="O33" s="497" t="s">
        <v>2817</v>
      </c>
      <c r="P33" s="497" t="s">
        <v>2818</v>
      </c>
      <c r="Q33" s="491" t="s">
        <v>2819</v>
      </c>
    </row>
    <row r="34" spans="1:17" ht="15.75" thickBot="1">
      <c r="A34" s="610"/>
      <c r="B34" s="489">
        <f t="shared" si="0"/>
        <v>0</v>
      </c>
      <c r="C34" s="482">
        <f t="shared" si="1"/>
        <v>321.23612020499996</v>
      </c>
      <c r="D34" s="482">
        <f t="shared" si="2"/>
        <v>195.3159</v>
      </c>
      <c r="E34" s="482">
        <v>321.23612020499996</v>
      </c>
      <c r="F34" s="482">
        <v>195.3159</v>
      </c>
      <c r="G34" s="482">
        <v>10.949796771582733</v>
      </c>
      <c r="H34" s="482">
        <v>6.7555305755395683</v>
      </c>
      <c r="I34" s="482">
        <v>38.913297499999999</v>
      </c>
      <c r="J34" s="482">
        <v>29.556000000000001</v>
      </c>
      <c r="K34" s="482">
        <v>4292.5859988984039</v>
      </c>
      <c r="L34" s="482">
        <v>2624.3318777292575</v>
      </c>
      <c r="M34" s="496"/>
      <c r="N34" s="497"/>
      <c r="O34" s="491"/>
      <c r="P34" s="498"/>
    </row>
    <row r="35" spans="1:17" ht="15.75" thickBot="1">
      <c r="A35" s="610"/>
      <c r="B35" s="489" t="str">
        <f t="shared" si="0"/>
        <v>Siena (elox.)</v>
      </c>
      <c r="C35" s="482">
        <f t="shared" si="1"/>
        <v>475.10552231999998</v>
      </c>
      <c r="D35" s="482">
        <f t="shared" si="2"/>
        <v>244.56119999999996</v>
      </c>
      <c r="E35" s="482">
        <v>475.10552231999998</v>
      </c>
      <c r="F35" s="482">
        <v>244.56119999999996</v>
      </c>
      <c r="G35" s="482">
        <v>16.194657410071944</v>
      </c>
      <c r="H35" s="482">
        <v>8.4588129496402864</v>
      </c>
      <c r="I35" s="482">
        <v>68.01652</v>
      </c>
      <c r="J35" s="482">
        <v>37.007999999999996</v>
      </c>
      <c r="K35" s="482">
        <v>6348.6986202194885</v>
      </c>
      <c r="L35" s="482">
        <v>3286.0087336244533</v>
      </c>
      <c r="M35" s="496" t="s">
        <v>1002</v>
      </c>
      <c r="N35" s="497" t="s">
        <v>1002</v>
      </c>
      <c r="O35" s="491" t="s">
        <v>1002</v>
      </c>
      <c r="P35" s="498" t="s">
        <v>1002</v>
      </c>
      <c r="Q35" s="445" t="s">
        <v>1002</v>
      </c>
    </row>
    <row r="36" spans="1:17" ht="15.75" thickBot="1">
      <c r="A36" s="610"/>
      <c r="B36" s="489" t="str">
        <f t="shared" si="0"/>
        <v>Siena černá mat</v>
      </c>
      <c r="C36" s="482">
        <f t="shared" si="1"/>
        <v>549.7088688</v>
      </c>
      <c r="D36" s="482">
        <f t="shared" si="2"/>
        <v>246.82124999999999</v>
      </c>
      <c r="E36" s="482">
        <v>549.7088688</v>
      </c>
      <c r="F36" s="482">
        <v>246.82124999999999</v>
      </c>
      <c r="G36" s="482">
        <v>18.737620143884893</v>
      </c>
      <c r="H36" s="482">
        <v>8.536982913669064</v>
      </c>
      <c r="I36" s="482">
        <v>78.696799999999996</v>
      </c>
      <c r="J36" s="482">
        <v>37.35</v>
      </c>
      <c r="K36" s="482">
        <v>7345.6017093448618</v>
      </c>
      <c r="L36" s="482">
        <v>3316.3755458515284</v>
      </c>
      <c r="M36" s="496" t="s">
        <v>2041</v>
      </c>
      <c r="N36" s="497" t="s">
        <v>2225</v>
      </c>
      <c r="O36" s="491" t="s">
        <v>2446</v>
      </c>
      <c r="P36" s="498" t="s">
        <v>2226</v>
      </c>
      <c r="Q36" s="445" t="s">
        <v>2629</v>
      </c>
    </row>
    <row r="37" spans="1:17" ht="15.75" thickBot="1">
      <c r="A37" s="610"/>
      <c r="B37" s="489" t="str">
        <f t="shared" si="0"/>
        <v>Verona (elox.)</v>
      </c>
      <c r="C37" s="482">
        <f t="shared" si="1"/>
        <v>308.53920450599992</v>
      </c>
      <c r="D37" s="482">
        <f t="shared" si="2"/>
        <v>195.3159</v>
      </c>
      <c r="E37" s="482">
        <v>308.53920450599992</v>
      </c>
      <c r="F37" s="482">
        <v>195.3159</v>
      </c>
      <c r="G37" s="482">
        <v>10.517004075539568</v>
      </c>
      <c r="H37" s="482">
        <v>6.7555305755395683</v>
      </c>
      <c r="I37" s="482">
        <v>38.078224999999996</v>
      </c>
      <c r="J37" s="482">
        <v>29.556000000000001</v>
      </c>
      <c r="K37" s="482">
        <v>4122.9207616145659</v>
      </c>
      <c r="L37" s="482">
        <v>2624.3318777292575</v>
      </c>
      <c r="M37" s="496" t="s">
        <v>1003</v>
      </c>
      <c r="N37" s="497" t="s">
        <v>1003</v>
      </c>
      <c r="O37" s="491" t="s">
        <v>1003</v>
      </c>
      <c r="P37" s="498" t="s">
        <v>1003</v>
      </c>
      <c r="Q37" s="445" t="s">
        <v>1003</v>
      </c>
    </row>
    <row r="38" spans="1:17" ht="15.75" thickBot="1">
      <c r="A38" s="610"/>
      <c r="B38" s="489" t="str">
        <f t="shared" si="0"/>
        <v>Verona broušený hliník</v>
      </c>
      <c r="C38" s="482">
        <f t="shared" si="1"/>
        <v>447.59176283249997</v>
      </c>
      <c r="D38" s="482">
        <f t="shared" si="2"/>
        <v>195.3159</v>
      </c>
      <c r="E38" s="482">
        <v>447.59176283249997</v>
      </c>
      <c r="F38" s="482">
        <v>195.3159</v>
      </c>
      <c r="G38" s="482">
        <v>15.256811209532371</v>
      </c>
      <c r="H38" s="482">
        <v>6.7555305755395683</v>
      </c>
      <c r="I38" s="482">
        <v>58.252387499999998</v>
      </c>
      <c r="J38" s="482">
        <v>29.556000000000001</v>
      </c>
      <c r="K38" s="482">
        <v>5981.0401555433154</v>
      </c>
      <c r="L38" s="482">
        <v>2624.3318777292575</v>
      </c>
      <c r="M38" s="496" t="s">
        <v>1414</v>
      </c>
      <c r="N38" s="497" t="s">
        <v>693</v>
      </c>
      <c r="O38" s="491" t="s">
        <v>2447</v>
      </c>
      <c r="P38" s="498" t="s">
        <v>695</v>
      </c>
      <c r="Q38" s="445" t="s">
        <v>2781</v>
      </c>
    </row>
    <row r="39" spans="1:17" ht="15.75" thickBot="1">
      <c r="A39" s="610"/>
      <c r="B39" s="489" t="str">
        <f t="shared" si="0"/>
        <v>Verona černá lesk</v>
      </c>
      <c r="C39" s="482">
        <f t="shared" si="1"/>
        <v>636.41114999999991</v>
      </c>
      <c r="D39" s="482">
        <f t="shared" si="2"/>
        <v>197.57594999999998</v>
      </c>
      <c r="E39" s="482">
        <v>636.41114999999991</v>
      </c>
      <c r="F39" s="482">
        <v>197.57594999999998</v>
      </c>
      <c r="G39" s="482">
        <v>21.695399999999999</v>
      </c>
      <c r="H39" s="482">
        <v>6.833700539568345</v>
      </c>
      <c r="I39" s="482">
        <v>81.30295000000001</v>
      </c>
      <c r="J39" s="482">
        <v>29.897999999999996</v>
      </c>
      <c r="K39" s="482">
        <v>8504.2098145992695</v>
      </c>
      <c r="L39" s="482">
        <v>2654.6986899563317</v>
      </c>
      <c r="M39" s="496" t="s">
        <v>689</v>
      </c>
      <c r="N39" s="497" t="s">
        <v>690</v>
      </c>
      <c r="O39" s="491" t="s">
        <v>691</v>
      </c>
      <c r="P39" s="498" t="s">
        <v>692</v>
      </c>
      <c r="Q39" s="445" t="s">
        <v>1724</v>
      </c>
    </row>
    <row r="40" spans="1:17" ht="15.75" thickBot="1">
      <c r="A40" s="610"/>
      <c r="B40" s="489" t="str">
        <f t="shared" si="0"/>
        <v>Verona černá mat</v>
      </c>
      <c r="C40" s="482">
        <f t="shared" si="1"/>
        <v>393.3665318699999</v>
      </c>
      <c r="D40" s="482">
        <f t="shared" si="2"/>
        <v>197.57594999999998</v>
      </c>
      <c r="E40" s="482">
        <v>393.3665318699999</v>
      </c>
      <c r="F40" s="482">
        <v>197.57594999999998</v>
      </c>
      <c r="G40" s="482">
        <v>13.408465953237407</v>
      </c>
      <c r="H40" s="482">
        <v>6.833700539568345</v>
      </c>
      <c r="I40" s="482">
        <v>48.806068999999994</v>
      </c>
      <c r="J40" s="482">
        <v>29.897999999999996</v>
      </c>
      <c r="K40" s="482">
        <v>5256.4439704439637</v>
      </c>
      <c r="L40" s="482">
        <v>2654.6986899563317</v>
      </c>
      <c r="M40" s="496" t="s">
        <v>1575</v>
      </c>
      <c r="N40" s="497" t="s">
        <v>1576</v>
      </c>
      <c r="O40" s="491" t="s">
        <v>2448</v>
      </c>
      <c r="P40" s="498" t="s">
        <v>1578</v>
      </c>
      <c r="Q40" s="445" t="s">
        <v>1725</v>
      </c>
    </row>
    <row r="41" spans="1:17" ht="15.75" thickBot="1">
      <c r="A41" s="610"/>
      <c r="B41" s="489" t="str">
        <f t="shared" si="0"/>
        <v>Verona hnědá</v>
      </c>
      <c r="C41" s="482">
        <f t="shared" si="1"/>
        <v>458.92762051499989</v>
      </c>
      <c r="D41" s="482">
        <f t="shared" si="2"/>
        <v>195.3159</v>
      </c>
      <c r="E41" s="482">
        <v>458.92762051499989</v>
      </c>
      <c r="F41" s="482">
        <v>195.3159</v>
      </c>
      <c r="G41" s="482">
        <v>15.643210278776975</v>
      </c>
      <c r="H41" s="482">
        <v>6.7555305755395683</v>
      </c>
      <c r="I41" s="482">
        <v>56.314694999999993</v>
      </c>
      <c r="J41" s="482">
        <v>29.556000000000001</v>
      </c>
      <c r="K41" s="482">
        <v>6132.5179655179591</v>
      </c>
      <c r="L41" s="482">
        <v>2624.3318777292575</v>
      </c>
      <c r="M41" s="493" t="s">
        <v>1415</v>
      </c>
      <c r="N41" s="494" t="s">
        <v>1415</v>
      </c>
      <c r="O41" s="491" t="s">
        <v>1416</v>
      </c>
      <c r="P41" s="495" t="s">
        <v>1417</v>
      </c>
      <c r="Q41" s="445" t="s">
        <v>1726</v>
      </c>
    </row>
    <row r="42" spans="1:17" ht="15.75" thickBot="1">
      <c r="A42" s="610"/>
      <c r="B42" s="489" t="str">
        <f t="shared" si="0"/>
        <v>Verona champagne</v>
      </c>
      <c r="C42" s="482">
        <f t="shared" si="1"/>
        <v>390.2687562735</v>
      </c>
      <c r="D42" s="482">
        <f t="shared" si="2"/>
        <v>195.3159</v>
      </c>
      <c r="E42" s="482">
        <v>390.2687562735</v>
      </c>
      <c r="F42" s="482">
        <v>195.3159</v>
      </c>
      <c r="G42" s="482">
        <v>13.302873801258993</v>
      </c>
      <c r="H42" s="482">
        <v>6.7555305755395683</v>
      </c>
      <c r="I42" s="482">
        <v>50.970231000000013</v>
      </c>
      <c r="J42" s="482">
        <v>29.556000000000001</v>
      </c>
      <c r="K42" s="482">
        <v>5215.0492849871134</v>
      </c>
      <c r="L42" s="482">
        <v>2624.3318777292575</v>
      </c>
      <c r="M42" s="493" t="s">
        <v>686</v>
      </c>
      <c r="N42" s="494" t="s">
        <v>686</v>
      </c>
      <c r="O42" s="491" t="s">
        <v>2449</v>
      </c>
      <c r="P42" s="495" t="s">
        <v>688</v>
      </c>
      <c r="Q42" s="445" t="s">
        <v>686</v>
      </c>
    </row>
    <row r="43" spans="1:17" ht="15.75" thickBot="1">
      <c r="A43" s="610"/>
      <c r="B43" s="489" t="str">
        <f t="shared" si="0"/>
        <v>Verona tmavá nerez broušená</v>
      </c>
      <c r="C43" s="482">
        <f t="shared" si="1"/>
        <v>471.76800418800008</v>
      </c>
      <c r="D43" s="482">
        <f t="shared" si="2"/>
        <v>195.3159</v>
      </c>
      <c r="E43" s="482">
        <v>471.76800418800008</v>
      </c>
      <c r="F43" s="482">
        <v>195.3159</v>
      </c>
      <c r="G43" s="482">
        <v>16.080893287769783</v>
      </c>
      <c r="H43" s="482">
        <v>6.7555305755395683</v>
      </c>
      <c r="I43" s="482">
        <v>62.343432000000007</v>
      </c>
      <c r="J43" s="482">
        <v>29.556000000000001</v>
      </c>
      <c r="K43" s="482">
        <v>6304.1003241270382</v>
      </c>
      <c r="L43" s="482">
        <v>2624.3318777292575</v>
      </c>
      <c r="M43" s="496" t="s">
        <v>1418</v>
      </c>
      <c r="N43" s="497" t="s">
        <v>696</v>
      </c>
      <c r="O43" s="491" t="s">
        <v>2450</v>
      </c>
      <c r="P43" s="498" t="s">
        <v>698</v>
      </c>
      <c r="Q43" s="445" t="s">
        <v>2782</v>
      </c>
    </row>
    <row r="44" spans="1:17" ht="15.75" thickBot="1">
      <c r="A44" s="610"/>
      <c r="B44" s="489" t="str">
        <f t="shared" si="0"/>
        <v>Verona světlá nerez (Acier grata)</v>
      </c>
      <c r="C44" s="482">
        <f t="shared" si="1"/>
        <v>480.12690140999996</v>
      </c>
      <c r="D44" s="482">
        <f t="shared" si="2"/>
        <v>195.3159</v>
      </c>
      <c r="E44" s="482">
        <v>480.12690140999996</v>
      </c>
      <c r="F44" s="482">
        <v>195.3159</v>
      </c>
      <c r="G44" s="482">
        <v>16.365818363309351</v>
      </c>
      <c r="H44" s="482">
        <v>6.7555305755395683</v>
      </c>
      <c r="I44" s="482">
        <v>63.007436250000005</v>
      </c>
      <c r="J44" s="482">
        <v>29.556000000000001</v>
      </c>
      <c r="K44" s="482">
        <v>6415.7978666029267</v>
      </c>
      <c r="L44" s="482">
        <v>2624.3318777292575</v>
      </c>
      <c r="M44" s="496" t="s">
        <v>1419</v>
      </c>
      <c r="N44" s="497" t="s">
        <v>1420</v>
      </c>
      <c r="O44" s="491" t="s">
        <v>2451</v>
      </c>
      <c r="P44" s="498" t="s">
        <v>1422</v>
      </c>
      <c r="Q44" s="445" t="s">
        <v>1728</v>
      </c>
    </row>
    <row r="45" spans="1:17" ht="15.75" thickBot="1">
      <c r="A45" s="610"/>
      <c r="B45" s="489"/>
      <c r="C45" s="482"/>
      <c r="D45" s="482"/>
      <c r="E45" s="482"/>
      <c r="F45" s="482"/>
      <c r="G45" s="482"/>
      <c r="H45" s="482"/>
      <c r="I45" s="482"/>
      <c r="J45" s="482"/>
      <c r="K45" s="482"/>
      <c r="L45" s="482"/>
      <c r="M45" s="489" t="s">
        <v>3317</v>
      </c>
      <c r="N45" s="497" t="s">
        <v>3317</v>
      </c>
      <c r="O45" s="491" t="s">
        <v>3317</v>
      </c>
      <c r="P45" s="498" t="s">
        <v>3317</v>
      </c>
      <c r="Q45" s="445" t="s">
        <v>3317</v>
      </c>
    </row>
    <row r="46" spans="1:17" ht="15.75" thickBot="1">
      <c r="A46" s="610"/>
      <c r="B46" s="489" t="str">
        <f t="shared" si="0"/>
        <v>Rocca černá mat</v>
      </c>
      <c r="C46" s="482">
        <f>IF($D$1=1,E46,IF($D$1=2,G46,IF($D$1=3,I46,IF($D$1=4,K46,IF($D$1=5,G46,0)))))</f>
        <v>602.34840110250002</v>
      </c>
      <c r="D46" s="482">
        <f>IF($D$1=1,F46,IF($D$1=2,H46,IF($D$1=3,J46,IF($D$1=4,L46,IF($D$1=5,H46,0)))))</f>
        <v>187.70309999999998</v>
      </c>
      <c r="E46" s="482">
        <v>602.34840110250002</v>
      </c>
      <c r="F46" s="482">
        <v>187.70309999999998</v>
      </c>
      <c r="G46" s="482">
        <v>20.531914572841728</v>
      </c>
      <c r="H46" s="482">
        <v>6.4922212230215814</v>
      </c>
      <c r="I46" s="482">
        <v>79.599435000000014</v>
      </c>
      <c r="J46" s="482">
        <v>28.403999999999996</v>
      </c>
      <c r="K46" s="482">
        <v>8049.008658744182</v>
      </c>
      <c r="L46" s="482">
        <v>2522.0436681222704</v>
      </c>
      <c r="M46" s="489" t="s">
        <v>3318</v>
      </c>
      <c r="N46" s="497" t="s">
        <v>3319</v>
      </c>
      <c r="O46" s="491" t="s">
        <v>3320</v>
      </c>
      <c r="P46" s="498" t="s">
        <v>3321</v>
      </c>
      <c r="Q46" s="445" t="s">
        <v>3322</v>
      </c>
    </row>
    <row r="47" spans="1:17" ht="15.75" thickBot="1">
      <c r="A47" s="610"/>
      <c r="B47" s="489" t="str">
        <f t="shared" si="0"/>
        <v>Vivaro (elox.)</v>
      </c>
      <c r="C47" s="482">
        <f t="shared" si="1"/>
        <v>520.02539999999999</v>
      </c>
      <c r="D47" s="482">
        <f t="shared" si="2"/>
        <v>244.56119999999996</v>
      </c>
      <c r="E47" s="482">
        <v>520.02539999999999</v>
      </c>
      <c r="F47" s="482">
        <v>244.56119999999996</v>
      </c>
      <c r="G47" s="482">
        <v>17.727599999999999</v>
      </c>
      <c r="H47" s="482">
        <v>8.4588129496402864</v>
      </c>
      <c r="I47" s="482">
        <v>65.151870000000002</v>
      </c>
      <c r="J47" s="482">
        <v>37.007999999999996</v>
      </c>
      <c r="K47" s="482">
        <v>6949.0164283338881</v>
      </c>
      <c r="L47" s="482">
        <v>3286.0087336244533</v>
      </c>
      <c r="M47" s="496" t="s">
        <v>1004</v>
      </c>
      <c r="N47" s="497" t="s">
        <v>1004</v>
      </c>
      <c r="O47" s="491" t="s">
        <v>1004</v>
      </c>
      <c r="P47" s="498" t="s">
        <v>1004</v>
      </c>
      <c r="Q47" s="445" t="s">
        <v>1004</v>
      </c>
    </row>
    <row r="48" spans="1:17" ht="15.75" thickBot="1">
      <c r="A48" s="610"/>
      <c r="B48" s="489" t="str">
        <f t="shared" si="0"/>
        <v>Vivaro černá mat</v>
      </c>
      <c r="C48" s="482">
        <f t="shared" si="1"/>
        <v>697.14108945000009</v>
      </c>
      <c r="D48" s="482">
        <f t="shared" si="2"/>
        <v>246.82124999999999</v>
      </c>
      <c r="E48" s="482">
        <v>697.14108945000009</v>
      </c>
      <c r="F48" s="482">
        <v>246.82124999999999</v>
      </c>
      <c r="G48" s="482">
        <v>23.763060161870506</v>
      </c>
      <c r="H48" s="482">
        <v>8.536982913669064</v>
      </c>
      <c r="I48" s="482">
        <v>86.496215000000021</v>
      </c>
      <c r="J48" s="482">
        <v>37.35</v>
      </c>
      <c r="K48" s="482">
        <v>9315.6961238360509</v>
      </c>
      <c r="L48" s="482">
        <v>3316.3755458515284</v>
      </c>
      <c r="M48" s="496" t="s">
        <v>1583</v>
      </c>
      <c r="N48" s="497" t="s">
        <v>1584</v>
      </c>
      <c r="O48" s="491" t="s">
        <v>2452</v>
      </c>
      <c r="P48" s="498" t="s">
        <v>1586</v>
      </c>
      <c r="Q48" s="445" t="s">
        <v>1730</v>
      </c>
    </row>
    <row r="49" spans="1:17" ht="15.75" thickBot="1">
      <c r="A49" s="610"/>
      <c r="B49" s="489" t="str">
        <f t="shared" si="0"/>
        <v>Imola zlatá</v>
      </c>
      <c r="C49" s="482">
        <f t="shared" si="1"/>
        <v>935.89067555099996</v>
      </c>
      <c r="D49" s="482">
        <f t="shared" si="2"/>
        <v>244.56119999999996</v>
      </c>
      <c r="E49" s="482">
        <v>935.89067555099996</v>
      </c>
      <c r="F49" s="482">
        <v>244.56119999999996</v>
      </c>
      <c r="G49" s="482">
        <v>31.901184372302158</v>
      </c>
      <c r="H49" s="482">
        <v>8.4588129496402864</v>
      </c>
      <c r="I49" s="482">
        <v>124.05826250000001</v>
      </c>
      <c r="J49" s="482">
        <v>37.007999999999996</v>
      </c>
      <c r="K49" s="482">
        <v>12506.038261843201</v>
      </c>
      <c r="L49" s="482">
        <v>3286.0087336244533</v>
      </c>
      <c r="M49" s="499" t="s">
        <v>2820</v>
      </c>
      <c r="N49" s="500" t="s">
        <v>2820</v>
      </c>
      <c r="O49" s="445" t="s">
        <v>2821</v>
      </c>
      <c r="P49" s="494" t="s">
        <v>2822</v>
      </c>
      <c r="Q49" s="491" t="s">
        <v>2823</v>
      </c>
    </row>
    <row r="50" spans="1:17" ht="15.75" thickBot="1">
      <c r="A50" s="610"/>
      <c r="B50" s="489" t="str">
        <f t="shared" si="0"/>
        <v>Vivaro tmavá nerez br. (inox lija)</v>
      </c>
      <c r="C50" s="482">
        <f t="shared" si="1"/>
        <v>618.40926324450004</v>
      </c>
      <c r="D50" s="482">
        <f t="shared" si="2"/>
        <v>244.56119999999996</v>
      </c>
      <c r="E50" s="482">
        <v>618.40926324450004</v>
      </c>
      <c r="F50" s="482">
        <v>244.56119999999996</v>
      </c>
      <c r="G50" s="482">
        <v>21.079372238309357</v>
      </c>
      <c r="H50" s="482">
        <v>8.4588129496402864</v>
      </c>
      <c r="I50" s="482">
        <v>78.509516750000003</v>
      </c>
      <c r="J50" s="482">
        <v>37.007999999999996</v>
      </c>
      <c r="K50" s="482">
        <v>8263.625346048806</v>
      </c>
      <c r="L50" s="482">
        <v>3286.0087336244533</v>
      </c>
      <c r="M50" s="496" t="s">
        <v>1423</v>
      </c>
      <c r="N50" s="497" t="s">
        <v>1423</v>
      </c>
      <c r="O50" s="491" t="s">
        <v>2453</v>
      </c>
      <c r="P50" s="498" t="s">
        <v>701</v>
      </c>
      <c r="Q50" s="445" t="s">
        <v>2630</v>
      </c>
    </row>
    <row r="51" spans="1:17" ht="15.75" thickBot="1">
      <c r="A51" s="610"/>
      <c r="B51" s="489" t="str">
        <f t="shared" si="0"/>
        <v>Vivaro bílá mat</v>
      </c>
      <c r="C51" s="482">
        <f t="shared" si="1"/>
        <v>942.47132498999974</v>
      </c>
      <c r="D51" s="482">
        <f t="shared" si="2"/>
        <v>244.56119999999996</v>
      </c>
      <c r="E51" s="482">
        <v>942.47132498999974</v>
      </c>
      <c r="F51" s="482">
        <v>244.56119999999996</v>
      </c>
      <c r="G51" s="482">
        <v>32.125495305755386</v>
      </c>
      <c r="H51" s="482">
        <v>8.4588129496402864</v>
      </c>
      <c r="I51" s="482">
        <v>123.68126374999999</v>
      </c>
      <c r="J51" s="482">
        <v>37.007999999999996</v>
      </c>
      <c r="K51" s="482">
        <v>12593.973589998337</v>
      </c>
      <c r="L51" s="482">
        <v>3286.0087336244533</v>
      </c>
      <c r="M51" s="493" t="s">
        <v>1623</v>
      </c>
      <c r="N51" s="494" t="s">
        <v>1624</v>
      </c>
      <c r="O51" s="491" t="s">
        <v>2454</v>
      </c>
      <c r="P51" s="495" t="s">
        <v>1626</v>
      </c>
      <c r="Q51" s="445" t="s">
        <v>1732</v>
      </c>
    </row>
    <row r="52" spans="1:17">
      <c r="A52" s="610"/>
      <c r="B52" s="489" t="str">
        <f t="shared" si="0"/>
        <v>Vivaro bílá lesk</v>
      </c>
      <c r="C52" s="482">
        <f t="shared" si="1"/>
        <v>942.47132498999974</v>
      </c>
      <c r="D52" s="482">
        <f t="shared" si="2"/>
        <v>244.56119999999996</v>
      </c>
      <c r="E52" s="482">
        <v>942.47132498999974</v>
      </c>
      <c r="F52" s="482">
        <v>244.56119999999996</v>
      </c>
      <c r="G52" s="482">
        <v>32.125495305755386</v>
      </c>
      <c r="H52" s="482">
        <v>8.4588129496402864</v>
      </c>
      <c r="I52" s="482">
        <v>123.68126374999999</v>
      </c>
      <c r="J52" s="482">
        <v>37.007999999999996</v>
      </c>
      <c r="K52" s="482">
        <v>12593.973589998337</v>
      </c>
      <c r="L52" s="482">
        <v>3286.0087336244533</v>
      </c>
      <c r="M52" s="493" t="s">
        <v>1627</v>
      </c>
      <c r="N52" s="494" t="s">
        <v>1628</v>
      </c>
      <c r="O52" s="491" t="s">
        <v>2455</v>
      </c>
      <c r="P52" s="495" t="s">
        <v>1630</v>
      </c>
      <c r="Q52" s="445" t="s">
        <v>1733</v>
      </c>
    </row>
    <row r="53" spans="1:17">
      <c r="A53" s="610"/>
      <c r="B53" s="489" t="str">
        <f t="shared" si="0"/>
        <v>Varna elox (elox.)</v>
      </c>
      <c r="C53" s="482">
        <f t="shared" si="1"/>
        <v>689.43419999999992</v>
      </c>
      <c r="D53" s="482">
        <f t="shared" si="2"/>
        <v>244.56120000000001</v>
      </c>
      <c r="E53" s="482">
        <v>689.43419999999992</v>
      </c>
      <c r="F53" s="482">
        <v>244.56120000000001</v>
      </c>
      <c r="G53" s="482">
        <v>23.50035971223021</v>
      </c>
      <c r="H53" s="482">
        <v>8.4588129496402882</v>
      </c>
      <c r="I53" s="482">
        <v>51.84</v>
      </c>
      <c r="J53" s="482">
        <v>37.007999999999996</v>
      </c>
      <c r="K53" s="482">
        <v>9212.7111739275042</v>
      </c>
      <c r="L53" s="482">
        <v>3286.0087336244537</v>
      </c>
      <c r="M53" s="501" t="s">
        <v>4126</v>
      </c>
      <c r="N53" s="502" t="s">
        <v>2005</v>
      </c>
      <c r="O53" s="445" t="s">
        <v>2352</v>
      </c>
      <c r="P53" s="495" t="s">
        <v>2353</v>
      </c>
      <c r="Q53" s="445" t="s">
        <v>2005</v>
      </c>
    </row>
    <row r="54" spans="1:17">
      <c r="A54" s="610"/>
      <c r="B54" s="489" t="str">
        <f t="shared" si="0"/>
        <v>Rocca (elox.)</v>
      </c>
      <c r="C54" s="482">
        <f t="shared" si="1"/>
        <v>387.70332237000002</v>
      </c>
      <c r="D54" s="482">
        <f t="shared" si="2"/>
        <v>187.70309999999998</v>
      </c>
      <c r="E54" s="482">
        <v>387.70332237000002</v>
      </c>
      <c r="F54" s="482">
        <v>187.70309999999998</v>
      </c>
      <c r="G54" s="482">
        <v>13.215427284172662</v>
      </c>
      <c r="H54" s="482">
        <v>6.4922212230215814</v>
      </c>
      <c r="I54" s="482">
        <v>51.539377500000008</v>
      </c>
      <c r="J54" s="482">
        <v>28.403999999999996</v>
      </c>
      <c r="K54" s="482">
        <v>5180.768128658131</v>
      </c>
      <c r="L54" s="482">
        <v>2522.0436681222704</v>
      </c>
      <c r="M54" s="501" t="s">
        <v>3466</v>
      </c>
      <c r="N54" s="445" t="s">
        <v>3466</v>
      </c>
      <c r="O54" s="445" t="s">
        <v>3466</v>
      </c>
      <c r="P54" s="495" t="s">
        <v>3466</v>
      </c>
      <c r="Q54" s="445" t="s">
        <v>3466</v>
      </c>
    </row>
    <row r="55" spans="1:17">
      <c r="A55" s="610"/>
      <c r="B55" s="489" t="str">
        <f t="shared" si="0"/>
        <v>Předěl</v>
      </c>
      <c r="C55" s="482">
        <f t="shared" si="1"/>
        <v>1170.9063188549999</v>
      </c>
      <c r="D55" s="482">
        <f t="shared" si="2"/>
        <v>240.0411</v>
      </c>
      <c r="E55" s="482">
        <v>1170.9063188549999</v>
      </c>
      <c r="F55" s="482">
        <v>240.0411</v>
      </c>
      <c r="G55" s="482">
        <v>39.912031753597127</v>
      </c>
      <c r="H55" s="482">
        <v>8.3024730215827329</v>
      </c>
      <c r="I55" s="482">
        <v>171.19452000000001</v>
      </c>
      <c r="J55" s="482">
        <v>36.323999999999998</v>
      </c>
      <c r="K55" s="482">
        <v>15656.698241048038</v>
      </c>
      <c r="L55" s="482">
        <v>3225.2751091703053</v>
      </c>
      <c r="M55" s="445" t="s">
        <v>2314</v>
      </c>
      <c r="N55" s="445" t="s">
        <v>2314</v>
      </c>
      <c r="O55" s="445" t="s">
        <v>2314</v>
      </c>
      <c r="P55" s="495" t="s">
        <v>2314</v>
      </c>
      <c r="Q55" s="445" t="s">
        <v>2314</v>
      </c>
    </row>
    <row r="56" spans="1:17" ht="15.75" thickBot="1">
      <c r="A56" s="610"/>
      <c r="B56" s="489">
        <f t="shared" si="0"/>
        <v>0</v>
      </c>
      <c r="C56" s="482">
        <f t="shared" si="1"/>
        <v>602.34840110250002</v>
      </c>
      <c r="D56" s="482">
        <f t="shared" si="2"/>
        <v>187.70309999999998</v>
      </c>
      <c r="E56" s="482">
        <v>602.34840110250002</v>
      </c>
      <c r="F56" s="482">
        <v>187.70309999999998</v>
      </c>
      <c r="G56" s="482">
        <v>20.531914572841728</v>
      </c>
      <c r="H56" s="482">
        <v>6.4922212230215814</v>
      </c>
      <c r="I56" s="482">
        <v>79.599435000000014</v>
      </c>
      <c r="J56" s="482">
        <v>28.403999999999996</v>
      </c>
      <c r="K56" s="482">
        <v>8049.008658744182</v>
      </c>
      <c r="L56" s="482">
        <v>2522.0436681222704</v>
      </c>
      <c r="M56" s="501"/>
      <c r="N56" s="503"/>
      <c r="P56" s="495"/>
    </row>
    <row r="57" spans="1:17" ht="15.75" thickBot="1">
      <c r="A57" s="610"/>
      <c r="B57" s="489" t="str">
        <f>IF($D$1=1,M57,IF($D$1=2,N57,IF($D$1=3,O57,IF($D$1=4,P57,IF($D$1=5,Q57,0)))))</f>
        <v>Pisa bílá mat</v>
      </c>
      <c r="C57" s="482">
        <f>IF($D$1=1,E57,IF($D$1=2,G57,IF($D$1=3,I57,IF($D$1=4,K57,IF($D$1=5,G57,0)))))</f>
        <v>867.88685587500004</v>
      </c>
      <c r="D57" s="482">
        <f>IF($D$1=1,F57,IF($D$1=2,H57,IF($D$1=3,J57,IF($D$1=4,L57,IF($D$1=5,H57,0)))))</f>
        <v>244.56119999999996</v>
      </c>
      <c r="E57" s="482">
        <v>867.88685587500004</v>
      </c>
      <c r="F57" s="482">
        <v>244.56119999999996</v>
      </c>
      <c r="G57" s="482">
        <v>29.583176034172666</v>
      </c>
      <c r="H57" s="482">
        <v>8.4588129496402864</v>
      </c>
      <c r="I57" s="482">
        <v>126.89100000000001</v>
      </c>
      <c r="J57" s="482">
        <v>37.007999999999996</v>
      </c>
      <c r="K57" s="482">
        <v>11597.32275367892</v>
      </c>
      <c r="L57" s="482">
        <v>3286.0087336244533</v>
      </c>
      <c r="M57" s="493" t="s">
        <v>3356</v>
      </c>
      <c r="N57" s="494" t="s">
        <v>3357</v>
      </c>
      <c r="O57" s="491" t="s">
        <v>3358</v>
      </c>
      <c r="P57" s="495" t="s">
        <v>3359</v>
      </c>
      <c r="Q57" s="445" t="s">
        <v>3360</v>
      </c>
    </row>
    <row r="58" spans="1:17">
      <c r="A58" s="610"/>
      <c r="B58" s="489" t="str">
        <f t="shared" si="0"/>
        <v>Pisa bílá lesk</v>
      </c>
      <c r="C58" s="482">
        <f t="shared" si="1"/>
        <v>867.88685587500004</v>
      </c>
      <c r="D58" s="482">
        <f t="shared" si="2"/>
        <v>244.56119999999996</v>
      </c>
      <c r="E58" s="482">
        <v>867.88685587500004</v>
      </c>
      <c r="F58" s="482">
        <v>244.56119999999996</v>
      </c>
      <c r="G58" s="482">
        <v>29.583176034172666</v>
      </c>
      <c r="H58" s="482">
        <v>8.4588129496402864</v>
      </c>
      <c r="I58" s="482">
        <v>111.82269375</v>
      </c>
      <c r="J58" s="482">
        <v>37.007999999999996</v>
      </c>
      <c r="K58" s="482">
        <v>11597.32275367892</v>
      </c>
      <c r="L58" s="482">
        <v>3286.0087336244533</v>
      </c>
      <c r="M58" s="493" t="s">
        <v>3155</v>
      </c>
      <c r="N58" s="494" t="s">
        <v>3156</v>
      </c>
      <c r="O58" s="491" t="s">
        <v>3157</v>
      </c>
      <c r="P58" s="495" t="s">
        <v>3158</v>
      </c>
      <c r="Q58" s="445" t="s">
        <v>3159</v>
      </c>
    </row>
    <row r="59" spans="1:17">
      <c r="A59" s="610"/>
      <c r="B59" s="489" t="str">
        <f t="shared" si="0"/>
        <v>Varna černá</v>
      </c>
      <c r="C59" s="482">
        <f t="shared" si="1"/>
        <v>902.83050000000003</v>
      </c>
      <c r="D59" s="482">
        <f t="shared" si="2"/>
        <v>244.56120000000001</v>
      </c>
      <c r="E59" s="482">
        <v>902.83050000000003</v>
      </c>
      <c r="F59" s="482">
        <v>244.56120000000001</v>
      </c>
      <c r="G59" s="482">
        <v>30.774280575539567</v>
      </c>
      <c r="H59" s="482">
        <v>8.4588129496402882</v>
      </c>
      <c r="I59" s="482">
        <v>132</v>
      </c>
      <c r="J59" s="482">
        <v>37.007999999999996</v>
      </c>
      <c r="K59" s="482">
        <v>12064.264632524111</v>
      </c>
      <c r="L59" s="482">
        <v>3286.0087336244537</v>
      </c>
      <c r="M59" s="445" t="s">
        <v>2357</v>
      </c>
      <c r="N59" s="503" t="s">
        <v>2358</v>
      </c>
      <c r="O59" s="445" t="s">
        <v>2359</v>
      </c>
      <c r="P59" s="495" t="s">
        <v>2360</v>
      </c>
      <c r="Q59" s="445" t="s">
        <v>2632</v>
      </c>
    </row>
    <row r="60" spans="1:17">
      <c r="A60" s="610"/>
      <c r="B60" s="489" t="str">
        <f t="shared" si="0"/>
        <v>BRW zlatá broušená</v>
      </c>
      <c r="C60" s="482">
        <f t="shared" ref="C60:D62" si="3">IF($D$1=1,E60,IF($D$1=2,G60,IF($D$1=3,I60,IF($D$1=4,K60,IF($D$1=5,G60,0)))))</f>
        <v>836.34934500000008</v>
      </c>
      <c r="D60" s="482">
        <f t="shared" si="3"/>
        <v>195.3159</v>
      </c>
      <c r="E60" s="482">
        <v>836.34934500000008</v>
      </c>
      <c r="F60" s="482">
        <v>195.3159</v>
      </c>
      <c r="G60" s="482">
        <v>28.508174460431658</v>
      </c>
      <c r="H60" s="482">
        <v>6.7555305755395683</v>
      </c>
      <c r="I60" s="482">
        <v>112.54855000000001</v>
      </c>
      <c r="J60" s="482">
        <v>29.556000000000001</v>
      </c>
      <c r="K60" s="482">
        <v>11175.896055038245</v>
      </c>
      <c r="L60" s="482">
        <v>2624.3318777292575</v>
      </c>
      <c r="M60" s="445" t="s">
        <v>3364</v>
      </c>
      <c r="N60" s="503" t="s">
        <v>3361</v>
      </c>
      <c r="O60" s="445" t="s">
        <v>3367</v>
      </c>
      <c r="P60" s="495" t="s">
        <v>3370</v>
      </c>
      <c r="Q60" s="445" t="s">
        <v>3373</v>
      </c>
    </row>
    <row r="61" spans="1:17">
      <c r="A61" s="610"/>
      <c r="B61" s="489" t="str">
        <f t="shared" si="0"/>
        <v>Verona zlatá broušená</v>
      </c>
      <c r="C61" s="482">
        <f t="shared" si="3"/>
        <v>796.05848204999984</v>
      </c>
      <c r="D61" s="482">
        <f t="shared" si="3"/>
        <v>195.3159</v>
      </c>
      <c r="E61" s="482">
        <v>796.05848204999984</v>
      </c>
      <c r="F61" s="482">
        <v>195.3159</v>
      </c>
      <c r="G61" s="482">
        <v>27.134802248201435</v>
      </c>
      <c r="H61" s="482">
        <v>6.7555305755395683</v>
      </c>
      <c r="I61" s="482">
        <v>102.56798249999999</v>
      </c>
      <c r="J61" s="482">
        <v>29.556000000000001</v>
      </c>
      <c r="K61" s="482">
        <v>10637.5008270286</v>
      </c>
      <c r="L61" s="482">
        <v>2624.3318777292575</v>
      </c>
      <c r="M61" s="445" t="s">
        <v>3365</v>
      </c>
      <c r="N61" s="503" t="s">
        <v>3362</v>
      </c>
      <c r="O61" s="445" t="s">
        <v>3368</v>
      </c>
      <c r="P61" s="495" t="s">
        <v>3371</v>
      </c>
      <c r="Q61" s="445" t="s">
        <v>3374</v>
      </c>
    </row>
    <row r="62" spans="1:17">
      <c r="A62" s="610"/>
      <c r="B62" s="489" t="str">
        <f t="shared" si="0"/>
        <v>Vivaro zlatá broušená</v>
      </c>
      <c r="C62" s="482">
        <f t="shared" si="3"/>
        <v>1142.0805824999995</v>
      </c>
      <c r="D62" s="482">
        <f t="shared" si="3"/>
        <v>244.56119999999996</v>
      </c>
      <c r="E62" s="482">
        <v>1142.0805824999995</v>
      </c>
      <c r="F62" s="482">
        <v>244.56119999999996</v>
      </c>
      <c r="G62" s="482">
        <v>38.929464928057541</v>
      </c>
      <c r="H62" s="482">
        <v>8.4588129496402864</v>
      </c>
      <c r="I62" s="482">
        <v>148.63750000000002</v>
      </c>
      <c r="J62" s="482">
        <v>37.007999999999996</v>
      </c>
      <c r="K62" s="482">
        <v>15261.294760143001</v>
      </c>
      <c r="L62" s="482">
        <v>3286.0087336244533</v>
      </c>
      <c r="M62" s="445" t="s">
        <v>3777</v>
      </c>
      <c r="N62" s="503" t="s">
        <v>3363</v>
      </c>
      <c r="O62" s="445" t="s">
        <v>3369</v>
      </c>
      <c r="P62" s="495" t="s">
        <v>3372</v>
      </c>
      <c r="Q62" s="445" t="s">
        <v>3375</v>
      </c>
    </row>
    <row r="63" spans="1:17" ht="15.75" thickBot="1">
      <c r="A63" s="611"/>
      <c r="B63" s="544" t="str">
        <f t="shared" si="0"/>
        <v>Pisa zlatá</v>
      </c>
      <c r="C63" s="545">
        <f t="shared" si="1"/>
        <v>736.67029175999994</v>
      </c>
      <c r="D63" s="545">
        <f t="shared" si="2"/>
        <v>244.56119999999996</v>
      </c>
      <c r="E63" s="545">
        <v>736.67029175999994</v>
      </c>
      <c r="F63" s="545">
        <v>244.56119999999996</v>
      </c>
      <c r="G63" s="545">
        <v>25.110470071942444</v>
      </c>
      <c r="H63" s="545">
        <v>8.4588129496402864</v>
      </c>
      <c r="I63" s="545">
        <v>102.82580100000001</v>
      </c>
      <c r="J63" s="545">
        <v>37.007999999999996</v>
      </c>
      <c r="K63" s="545">
        <v>9843.9134995011646</v>
      </c>
      <c r="L63" s="545">
        <v>3286.0087336244533</v>
      </c>
      <c r="M63" s="445" t="s">
        <v>2824</v>
      </c>
      <c r="N63" s="445" t="s">
        <v>2824</v>
      </c>
      <c r="O63" s="445" t="s">
        <v>2825</v>
      </c>
      <c r="P63" s="495" t="s">
        <v>2826</v>
      </c>
      <c r="Q63" s="445" t="s">
        <v>2827</v>
      </c>
    </row>
    <row r="64" spans="1:17">
      <c r="A64" s="543"/>
      <c r="B64" s="544" t="str">
        <f t="shared" si="0"/>
        <v>ASTI černá mat</v>
      </c>
      <c r="C64" s="545">
        <f t="shared" si="1"/>
        <v>538.97366250000005</v>
      </c>
      <c r="D64" s="545">
        <f t="shared" si="2"/>
        <v>176.52277500000002</v>
      </c>
      <c r="E64" s="482">
        <v>538.97366250000005</v>
      </c>
      <c r="F64" s="482">
        <v>176.52277500000002</v>
      </c>
      <c r="G64" s="482">
        <v>18.371695143884892</v>
      </c>
      <c r="H64" s="482">
        <v>6.1055193345323744</v>
      </c>
      <c r="I64" s="482">
        <v>86.362499999999997</v>
      </c>
      <c r="J64" s="482">
        <v>29.275124999999999</v>
      </c>
      <c r="K64" s="482">
        <v>8061.122277186565</v>
      </c>
      <c r="L64" s="482">
        <v>2652.9669313269046</v>
      </c>
      <c r="M64" s="489" t="s">
        <v>3541</v>
      </c>
      <c r="N64" s="546" t="s">
        <v>3544</v>
      </c>
      <c r="O64" s="546" t="s">
        <v>3566</v>
      </c>
      <c r="P64" s="495" t="s">
        <v>4109</v>
      </c>
      <c r="Q64" s="489" t="s">
        <v>3545</v>
      </c>
    </row>
    <row r="65" spans="1:17">
      <c r="A65" s="543"/>
      <c r="B65" s="544" t="str">
        <f t="shared" si="0"/>
        <v>ASTI antracit RAL 7021 mat</v>
      </c>
      <c r="C65" s="482">
        <f t="shared" si="1"/>
        <v>799.99090762500009</v>
      </c>
      <c r="D65" s="482">
        <f t="shared" si="2"/>
        <v>176.52277500000002</v>
      </c>
      <c r="E65" s="482">
        <v>799.99090762500009</v>
      </c>
      <c r="F65" s="482">
        <v>176.52277500000002</v>
      </c>
      <c r="G65" s="482">
        <v>27.268844649280581</v>
      </c>
      <c r="H65" s="482">
        <v>6.1055193345323744</v>
      </c>
      <c r="I65" s="482">
        <v>128.18662499999999</v>
      </c>
      <c r="J65" s="482">
        <v>29.275124999999999</v>
      </c>
      <c r="K65" s="482">
        <v>11965.008637138346</v>
      </c>
      <c r="L65" s="482">
        <v>2652.9669313269046</v>
      </c>
      <c r="M65" s="489" t="s">
        <v>3542</v>
      </c>
      <c r="N65" s="489" t="s">
        <v>3542</v>
      </c>
      <c r="O65" s="546" t="s">
        <v>3543</v>
      </c>
      <c r="P65" s="489" t="s">
        <v>3547</v>
      </c>
      <c r="Q65" s="489" t="s">
        <v>3546</v>
      </c>
    </row>
    <row r="66" spans="1:17">
      <c r="A66" s="543"/>
      <c r="B66" s="544">
        <f t="shared" si="0"/>
        <v>0</v>
      </c>
      <c r="C66" s="446"/>
      <c r="D66" s="446"/>
      <c r="E66" s="446"/>
      <c r="F66" s="446"/>
      <c r="G66" s="446"/>
      <c r="H66" s="446"/>
      <c r="I66" s="446"/>
      <c r="J66" s="446"/>
      <c r="K66" s="446"/>
      <c r="L66" s="446"/>
      <c r="M66" s="507"/>
      <c r="N66" s="550"/>
      <c r="O66" s="549"/>
      <c r="P66" s="318"/>
      <c r="Q66" s="549"/>
    </row>
    <row r="67" spans="1:17">
      <c r="A67" s="543"/>
      <c r="B67" s="544">
        <f t="shared" si="0"/>
        <v>0</v>
      </c>
      <c r="C67" s="446"/>
      <c r="D67" s="446"/>
      <c r="E67" s="446"/>
      <c r="F67" s="446"/>
      <c r="G67" s="446"/>
      <c r="H67" s="446"/>
      <c r="I67" s="446"/>
      <c r="J67" s="446"/>
      <c r="K67" s="446"/>
      <c r="L67" s="446" t="s">
        <v>677</v>
      </c>
      <c r="M67" s="507"/>
      <c r="N67" s="550"/>
      <c r="O67" s="549"/>
      <c r="P67" s="318"/>
      <c r="Q67" s="549"/>
    </row>
    <row r="68" spans="1:17">
      <c r="A68" s="543"/>
      <c r="B68" s="544">
        <f t="shared" si="0"/>
        <v>0</v>
      </c>
      <c r="C68" s="446"/>
      <c r="D68" s="446"/>
      <c r="E68" s="446"/>
      <c r="F68" s="446"/>
      <c r="G68" s="446"/>
      <c r="H68" s="446"/>
      <c r="I68" s="446"/>
      <c r="J68" s="446"/>
      <c r="K68" s="446"/>
      <c r="L68" s="446"/>
      <c r="M68" s="507"/>
      <c r="N68" s="550"/>
      <c r="O68" s="549"/>
      <c r="P68" s="318"/>
      <c r="Q68" s="549"/>
    </row>
    <row r="69" spans="1:17">
      <c r="A69" s="543"/>
      <c r="B69" s="544" t="str">
        <f t="shared" si="0"/>
        <v>BRW champagne</v>
      </c>
      <c r="C69" s="482">
        <f t="shared" ref="C69" si="4">IF($D$1=1,E69,IF($D$1=2,G69,IF($D$1=3,I69,IF($D$1=4,K69,IF($D$1=5,G69,0)))))</f>
        <v>322.57</v>
      </c>
      <c r="D69" s="482">
        <f t="shared" ref="D69" si="5">IF($D$1=1,F69,IF($D$1=2,H69,IF($D$1=3,J69,IF($D$1=4,L69,IF($D$1=5,H69,0)))))</f>
        <v>174.5</v>
      </c>
      <c r="E69" s="446">
        <v>322.57</v>
      </c>
      <c r="F69" s="446">
        <v>174.5</v>
      </c>
      <c r="G69" s="446">
        <v>10.14</v>
      </c>
      <c r="H69" s="446">
        <v>6.04</v>
      </c>
      <c r="I69" s="446">
        <v>48.63</v>
      </c>
      <c r="J69" s="446">
        <v>28.94</v>
      </c>
      <c r="K69" s="446">
        <v>4407.24</v>
      </c>
      <c r="L69" s="446">
        <v>2622.62</v>
      </c>
      <c r="M69" s="507" t="s">
        <v>42</v>
      </c>
      <c r="N69" s="507" t="s">
        <v>42</v>
      </c>
      <c r="O69" s="507" t="s">
        <v>42</v>
      </c>
      <c r="P69" s="318" t="s">
        <v>42</v>
      </c>
      <c r="Q69" s="507" t="s">
        <v>42</v>
      </c>
    </row>
    <row r="70" spans="1:17">
      <c r="A70" s="543"/>
      <c r="B70" s="544" t="str">
        <f t="shared" si="0"/>
        <v>BRW champagne light</v>
      </c>
      <c r="C70" s="482">
        <f t="shared" ref="C70:D74" si="6">IF($D$1=1,E70,IF($D$1=2,G70,IF($D$1=3,I70,IF($D$1=4,K70,IF($D$1=5,G70,0)))))</f>
        <v>419.99880000000002</v>
      </c>
      <c r="D70" s="482">
        <f t="shared" si="6"/>
        <v>174.57440000000003</v>
      </c>
      <c r="E70" s="482">
        <v>419.99880000000002</v>
      </c>
      <c r="F70" s="482">
        <v>174.57440000000003</v>
      </c>
      <c r="G70" s="482">
        <v>14.526798561151079</v>
      </c>
      <c r="H70" s="482">
        <v>6.0381294964028775</v>
      </c>
      <c r="I70" s="482">
        <v>69.654000000000011</v>
      </c>
      <c r="J70" s="482">
        <v>28.952000000000002</v>
      </c>
      <c r="K70" s="482">
        <v>6312.176587961425</v>
      </c>
      <c r="L70" s="482">
        <v>2623.6847356168942</v>
      </c>
      <c r="M70" s="507" t="s">
        <v>3565</v>
      </c>
      <c r="N70" s="507" t="s">
        <v>3565</v>
      </c>
      <c r="O70" s="507" t="s">
        <v>3565</v>
      </c>
      <c r="P70" s="318" t="s">
        <v>4110</v>
      </c>
      <c r="Q70" s="507" t="s">
        <v>3565</v>
      </c>
    </row>
    <row r="71" spans="1:17">
      <c r="A71" s="543"/>
      <c r="B71" s="544" t="str">
        <f>IF($D$1=1,M71,IF($D$1=2,N71,IF($D$1=3,O71,IF($D$1=4,P71,IF($D$1=5,Q71,0)))))</f>
        <v>ROMA černá mat</v>
      </c>
      <c r="C71" s="482">
        <f t="shared" si="6"/>
        <v>624.89699999999993</v>
      </c>
      <c r="D71" s="482">
        <f t="shared" si="6"/>
        <v>490.99050000000011</v>
      </c>
      <c r="E71" s="482">
        <v>624.89699999999993</v>
      </c>
      <c r="F71" s="482">
        <v>490.99050000000011</v>
      </c>
      <c r="G71" s="482">
        <v>21.613758992805753</v>
      </c>
      <c r="H71" s="482">
        <v>16.982239208633096</v>
      </c>
      <c r="I71" s="482">
        <v>103.63499999999999</v>
      </c>
      <c r="J71" s="482">
        <v>81.427500000000023</v>
      </c>
      <c r="K71" s="482">
        <v>9391.5987695377444</v>
      </c>
      <c r="L71" s="482">
        <v>7379.1133189225156</v>
      </c>
      <c r="M71" s="507" t="s">
        <v>3571</v>
      </c>
      <c r="N71" s="507" t="s">
        <v>3574</v>
      </c>
      <c r="O71" s="507" t="s">
        <v>3575</v>
      </c>
      <c r="P71" s="507" t="s">
        <v>4111</v>
      </c>
      <c r="Q71" s="549" t="s">
        <v>3573</v>
      </c>
    </row>
    <row r="72" spans="1:17">
      <c r="A72" s="543"/>
      <c r="B72" s="544" t="str">
        <f>IF($D$1=1,M72,IF($D$1=2,N72,IF($D$1=3,O72,IF($D$1=4,P72,IF($D$1=5,Q72,0)))))</f>
        <v>ROMA champagne mat</v>
      </c>
      <c r="C72" s="482">
        <f t="shared" si="6"/>
        <v>624.89699999999993</v>
      </c>
      <c r="D72" s="482">
        <f t="shared" si="6"/>
        <v>490.99050000000011</v>
      </c>
      <c r="E72" s="446">
        <v>624.89699999999993</v>
      </c>
      <c r="F72" s="446">
        <v>490.99050000000011</v>
      </c>
      <c r="G72" s="446">
        <v>21.613758992805753</v>
      </c>
      <c r="H72" s="446">
        <v>16.982239208633096</v>
      </c>
      <c r="I72" s="446">
        <v>103.63499999999999</v>
      </c>
      <c r="J72" s="446">
        <v>81.427500000000023</v>
      </c>
      <c r="K72" s="446">
        <v>9391.5987695377444</v>
      </c>
      <c r="L72" s="446">
        <v>7379.1133189225156</v>
      </c>
      <c r="M72" s="507" t="s">
        <v>3572</v>
      </c>
      <c r="N72" s="507" t="s">
        <v>3572</v>
      </c>
      <c r="O72" s="507" t="s">
        <v>3572</v>
      </c>
      <c r="P72" s="507" t="s">
        <v>3573</v>
      </c>
      <c r="Q72" s="507" t="s">
        <v>3573</v>
      </c>
    </row>
    <row r="73" spans="1:17">
      <c r="A73" s="543"/>
      <c r="B73" s="544" t="str">
        <f>IF($D$1=1,M73,IF($D$1=2,N73,IF($D$1=3,O73,IF($D$1=4,P73,IF($D$1=5,Q73,0)))))</f>
        <v>ROMA GRIP černá mat</v>
      </c>
      <c r="C73" s="482">
        <f t="shared" si="6"/>
        <v>624.89699999999993</v>
      </c>
      <c r="D73" s="482">
        <f t="shared" si="6"/>
        <v>490.99050000000011</v>
      </c>
      <c r="E73" s="446">
        <v>624.89699999999993</v>
      </c>
      <c r="F73" s="446">
        <v>490.99050000000011</v>
      </c>
      <c r="G73" s="446">
        <v>21.613758992805753</v>
      </c>
      <c r="H73" s="446">
        <v>16.982239208633096</v>
      </c>
      <c r="I73" s="446">
        <v>103.63499999999999</v>
      </c>
      <c r="J73" s="446">
        <v>81.427500000000023</v>
      </c>
      <c r="K73" s="446">
        <v>9391.5987695377444</v>
      </c>
      <c r="L73" s="446">
        <v>7379.1133189225156</v>
      </c>
      <c r="M73" s="507" t="s">
        <v>3585</v>
      </c>
      <c r="N73" s="507" t="s">
        <v>3586</v>
      </c>
      <c r="O73" s="507" t="s">
        <v>3587</v>
      </c>
      <c r="P73" s="507" t="s">
        <v>4112</v>
      </c>
      <c r="Q73" s="558" t="s">
        <v>3588</v>
      </c>
    </row>
    <row r="74" spans="1:17">
      <c r="A74" s="543"/>
      <c r="B74" s="544" t="str">
        <f>IF($D$1=1,M74,IF($D$1=2,N74,IF($D$1=3,O74,IF($D$1=4,P74,IF($D$1=5,Q74,0)))))</f>
        <v>ROMA GRIP champagne mat</v>
      </c>
      <c r="C74" s="482">
        <f t="shared" si="6"/>
        <v>624.89699999999993</v>
      </c>
      <c r="D74" s="482">
        <f t="shared" si="6"/>
        <v>490.99050000000011</v>
      </c>
      <c r="E74" s="446">
        <v>624.89699999999993</v>
      </c>
      <c r="F74" s="446">
        <v>490.99050000000011</v>
      </c>
      <c r="G74" s="446">
        <v>21.613758992805753</v>
      </c>
      <c r="H74" s="446">
        <v>16.982239208633096</v>
      </c>
      <c r="I74" s="446">
        <v>103.63499999999999</v>
      </c>
      <c r="J74" s="446">
        <v>81.427500000000023</v>
      </c>
      <c r="K74" s="446">
        <v>9391.5987695377444</v>
      </c>
      <c r="L74" s="446">
        <v>7379.1133189225156</v>
      </c>
      <c r="M74" s="507" t="s">
        <v>3589</v>
      </c>
      <c r="N74" s="507" t="s">
        <v>3589</v>
      </c>
      <c r="O74" s="507" t="s">
        <v>3589</v>
      </c>
      <c r="P74" s="507" t="s">
        <v>3588</v>
      </c>
      <c r="Q74" s="507" t="s">
        <v>3588</v>
      </c>
    </row>
    <row r="75" spans="1:17">
      <c r="B75" s="504"/>
      <c r="C75" s="446"/>
      <c r="D75" s="446"/>
      <c r="E75" s="446"/>
      <c r="F75" s="446"/>
      <c r="G75" s="505"/>
      <c r="H75" s="505"/>
      <c r="I75" s="505"/>
      <c r="J75" s="505"/>
      <c r="K75" s="506"/>
      <c r="L75" s="506"/>
      <c r="M75" s="503"/>
      <c r="N75" s="503"/>
      <c r="O75" s="507"/>
      <c r="P75" s="503"/>
    </row>
    <row r="76" spans="1:17" ht="15.75" thickBot="1">
      <c r="B76" s="504"/>
      <c r="C76" s="446" t="s">
        <v>2308</v>
      </c>
      <c r="D76" s="446" t="s">
        <v>2309</v>
      </c>
      <c r="E76" s="446"/>
      <c r="F76" s="446"/>
      <c r="G76" s="505"/>
      <c r="H76" s="505"/>
      <c r="I76" s="505"/>
      <c r="J76" s="505"/>
      <c r="K76" s="506"/>
      <c r="L76" s="506"/>
      <c r="M76" s="503"/>
      <c r="N76" s="503"/>
      <c r="O76" s="507"/>
      <c r="P76" s="503"/>
    </row>
    <row r="77" spans="1:17" ht="15.75" thickBot="1">
      <c r="A77" s="613" t="s">
        <v>2310</v>
      </c>
      <c r="B77" s="508" t="str">
        <f t="shared" ref="B77:B87" si="7">IF($D$1=1,M77,IF($D$1=2,N77,IF($D$1=3,O77,IF($D$1=4,P77,IF($D$1=5,Q77,0)))))</f>
        <v>Varna elox (Vlevo a Vpravo) + Siena elox (Nahoře a dole)</v>
      </c>
      <c r="C77" s="509" t="s">
        <v>2005</v>
      </c>
      <c r="D77" s="510" t="str">
        <f>$B$35</f>
        <v>Siena (elox.)</v>
      </c>
      <c r="E77" s="511"/>
      <c r="F77" s="511"/>
      <c r="G77" s="512"/>
      <c r="H77" s="512"/>
      <c r="I77" s="512"/>
      <c r="J77" s="512"/>
      <c r="K77" s="513"/>
      <c r="L77" s="513"/>
      <c r="M77" s="514" t="s">
        <v>4113</v>
      </c>
      <c r="N77" s="514" t="s">
        <v>4119</v>
      </c>
      <c r="O77" s="515" t="s">
        <v>4125</v>
      </c>
      <c r="P77" s="516" t="s">
        <v>4141</v>
      </c>
      <c r="Q77" s="445" t="s">
        <v>4130</v>
      </c>
    </row>
    <row r="78" spans="1:17" ht="15.75" thickBot="1">
      <c r="A78" s="614"/>
      <c r="B78" s="508" t="str">
        <f t="shared" si="7"/>
        <v>Siena elox (Vlevo a vpravo) + Varna elox (Nahoře a dole)</v>
      </c>
      <c r="C78" s="517" t="str">
        <f>$B$35</f>
        <v>Siena (elox.)</v>
      </c>
      <c r="D78" s="518" t="s">
        <v>2005</v>
      </c>
      <c r="E78" s="446"/>
      <c r="F78" s="446"/>
      <c r="G78" s="505"/>
      <c r="H78" s="505"/>
      <c r="I78" s="505"/>
      <c r="J78" s="505"/>
      <c r="K78" s="506"/>
      <c r="L78" s="506"/>
      <c r="M78" s="503" t="s">
        <v>4114</v>
      </c>
      <c r="N78" s="503" t="s">
        <v>4120</v>
      </c>
      <c r="O78" s="507" t="s">
        <v>4131</v>
      </c>
      <c r="P78" s="519" t="s">
        <v>4142</v>
      </c>
      <c r="Q78" s="445" t="s">
        <v>4132</v>
      </c>
    </row>
    <row r="79" spans="1:17" ht="15.75" thickBot="1">
      <c r="A79" s="614"/>
      <c r="B79" s="508" t="str">
        <f t="shared" si="7"/>
        <v>Varna černá (Vlevo a Vpravo) + Siena černá (Nahoře a dole)</v>
      </c>
      <c r="C79" s="509" t="str">
        <f>$B$59</f>
        <v>Varna černá</v>
      </c>
      <c r="D79" s="510" t="str">
        <f>$B$36</f>
        <v>Siena černá mat</v>
      </c>
      <c r="M79" s="503" t="s">
        <v>2344</v>
      </c>
      <c r="N79" s="503" t="s">
        <v>2346</v>
      </c>
      <c r="O79" s="507" t="s">
        <v>2348</v>
      </c>
      <c r="P79" s="519" t="s">
        <v>2350</v>
      </c>
      <c r="Q79" s="445" t="s">
        <v>2514</v>
      </c>
    </row>
    <row r="80" spans="1:17" ht="15.75" thickBot="1">
      <c r="A80" s="614"/>
      <c r="B80" s="508" t="str">
        <f t="shared" si="7"/>
        <v>Siena černá (Vlevo a vpravo) + Varna černá (Nahoře a dole)</v>
      </c>
      <c r="C80" s="517" t="str">
        <f>$B$36</f>
        <v>Siena černá mat</v>
      </c>
      <c r="D80" s="518" t="str">
        <f>$B$59</f>
        <v>Varna černá</v>
      </c>
      <c r="M80" s="503" t="s">
        <v>2345</v>
      </c>
      <c r="N80" s="503" t="s">
        <v>2347</v>
      </c>
      <c r="O80" s="507" t="s">
        <v>2349</v>
      </c>
      <c r="P80" s="519" t="s">
        <v>2351</v>
      </c>
      <c r="Q80" s="445" t="s">
        <v>2515</v>
      </c>
    </row>
    <row r="81" spans="1:17" ht="15.75" thickBot="1">
      <c r="A81" s="614"/>
      <c r="B81" s="508" t="str">
        <f t="shared" si="7"/>
        <v>Varna elox (Vlevo a Vpravo) + Palio elox (Nahoře a dole)</v>
      </c>
      <c r="C81" s="509" t="s">
        <v>2005</v>
      </c>
      <c r="D81" s="510" t="str">
        <f>$B$29</f>
        <v>Palio (elox.)</v>
      </c>
      <c r="E81" s="446"/>
      <c r="F81" s="446"/>
      <c r="G81" s="505"/>
      <c r="H81" s="505"/>
      <c r="I81" s="505"/>
      <c r="J81" s="505"/>
      <c r="K81" s="506"/>
      <c r="L81" s="506"/>
      <c r="M81" s="503" t="s">
        <v>4115</v>
      </c>
      <c r="N81" s="503" t="s">
        <v>4121</v>
      </c>
      <c r="O81" s="507" t="s">
        <v>4133</v>
      </c>
      <c r="P81" s="519" t="s">
        <v>4143</v>
      </c>
      <c r="Q81" s="445" t="s">
        <v>4134</v>
      </c>
    </row>
    <row r="82" spans="1:17" ht="15.75" thickBot="1">
      <c r="A82" s="615"/>
      <c r="B82" s="508" t="str">
        <f t="shared" si="7"/>
        <v>Palio elox (Vlevo a vpravo) + Varna elox (Nahoře a dole)</v>
      </c>
      <c r="C82" s="517" t="str">
        <f>$B$29</f>
        <v>Palio (elox.)</v>
      </c>
      <c r="D82" s="518" t="s">
        <v>2005</v>
      </c>
      <c r="E82" s="446"/>
      <c r="F82" s="446"/>
      <c r="G82" s="505"/>
      <c r="H82" s="505"/>
      <c r="I82" s="505"/>
      <c r="J82" s="505"/>
      <c r="K82" s="506"/>
      <c r="L82" s="506"/>
      <c r="M82" s="503" t="s">
        <v>4116</v>
      </c>
      <c r="N82" s="503" t="s">
        <v>4122</v>
      </c>
      <c r="O82" s="507" t="s">
        <v>4135</v>
      </c>
      <c r="P82" s="519" t="s">
        <v>4144</v>
      </c>
      <c r="Q82" s="445" t="s">
        <v>4136</v>
      </c>
    </row>
    <row r="83" spans="1:17" ht="15.75" thickBot="1">
      <c r="A83" s="447"/>
      <c r="B83" s="508" t="str">
        <f t="shared" si="7"/>
        <v>Varna elox (Vlevo a Vpravo) + Rocca elox (Nahoře a dole)</v>
      </c>
      <c r="C83" s="509" t="s">
        <v>2005</v>
      </c>
      <c r="D83" s="510" t="s">
        <v>707</v>
      </c>
      <c r="E83" s="446"/>
      <c r="F83" s="446"/>
      <c r="G83" s="505"/>
      <c r="H83" s="505"/>
      <c r="I83" s="505"/>
      <c r="J83" s="505"/>
      <c r="K83" s="506"/>
      <c r="L83" s="506"/>
      <c r="M83" s="503" t="s">
        <v>4117</v>
      </c>
      <c r="N83" s="503" t="s">
        <v>4123</v>
      </c>
      <c r="O83" s="507" t="s">
        <v>4137</v>
      </c>
      <c r="P83" s="519" t="s">
        <v>4145</v>
      </c>
      <c r="Q83" s="445" t="s">
        <v>4138</v>
      </c>
    </row>
    <row r="84" spans="1:17" ht="15.75" thickBot="1">
      <c r="A84" s="447"/>
      <c r="B84" s="508" t="str">
        <f t="shared" si="7"/>
        <v>Rocca elox (Vlevo a vpravo) + Varna elox (Nahoře a dole)</v>
      </c>
      <c r="C84" s="517" t="s">
        <v>707</v>
      </c>
      <c r="D84" s="518" t="s">
        <v>2005</v>
      </c>
      <c r="E84" s="520"/>
      <c r="F84" s="520"/>
      <c r="G84" s="521"/>
      <c r="H84" s="521"/>
      <c r="I84" s="521"/>
      <c r="J84" s="521"/>
      <c r="K84" s="522"/>
      <c r="L84" s="522"/>
      <c r="M84" s="523" t="s">
        <v>4118</v>
      </c>
      <c r="N84" s="523" t="s">
        <v>4124</v>
      </c>
      <c r="O84" s="524" t="s">
        <v>4139</v>
      </c>
      <c r="P84" s="525" t="s">
        <v>4146</v>
      </c>
      <c r="Q84" s="445" t="s">
        <v>4140</v>
      </c>
    </row>
    <row r="85" spans="1:17" ht="15.75" thickBot="1">
      <c r="A85" s="447"/>
      <c r="B85" s="508" t="str">
        <f t="shared" si="7"/>
        <v>Varna černá (Vlevo a Vpravo) + Rocca černá (Nahoře a dole)</v>
      </c>
      <c r="C85" s="509" t="str">
        <f>$B$59</f>
        <v>Varna černá</v>
      </c>
      <c r="D85" s="510">
        <f>$B$56</f>
        <v>0</v>
      </c>
      <c r="E85" s="446"/>
      <c r="F85" s="446"/>
      <c r="G85" s="505"/>
      <c r="H85" s="505"/>
      <c r="I85" s="505"/>
      <c r="J85" s="505"/>
      <c r="K85" s="506"/>
      <c r="L85" s="506"/>
      <c r="M85" s="503" t="s">
        <v>2361</v>
      </c>
      <c r="N85" s="503" t="s">
        <v>2363</v>
      </c>
      <c r="O85" s="507" t="s">
        <v>2365</v>
      </c>
      <c r="P85" s="519" t="s">
        <v>2367</v>
      </c>
      <c r="Q85" s="445" t="s">
        <v>2516</v>
      </c>
    </row>
    <row r="86" spans="1:17" ht="15.75" thickBot="1">
      <c r="A86" s="447"/>
      <c r="B86" s="508" t="str">
        <f t="shared" si="7"/>
        <v>Rocca černá (Vlevo a vpravo) + Varna černá (Nahoře a dole)</v>
      </c>
      <c r="C86" s="517">
        <f>$B$56</f>
        <v>0</v>
      </c>
      <c r="D86" s="518" t="str">
        <f>$B$59</f>
        <v>Varna černá</v>
      </c>
      <c r="E86" s="446"/>
      <c r="F86" s="446"/>
      <c r="G86" s="505"/>
      <c r="H86" s="505"/>
      <c r="I86" s="505"/>
      <c r="J86" s="505"/>
      <c r="K86" s="506"/>
      <c r="L86" s="506"/>
      <c r="M86" s="523" t="s">
        <v>2362</v>
      </c>
      <c r="N86" s="523" t="s">
        <v>2364</v>
      </c>
      <c r="O86" s="524" t="s">
        <v>2366</v>
      </c>
      <c r="P86" s="525" t="s">
        <v>2368</v>
      </c>
      <c r="Q86" s="445" t="s">
        <v>2517</v>
      </c>
    </row>
    <row r="87" spans="1:17" ht="15.75" thickBot="1">
      <c r="A87" s="447"/>
      <c r="B87" s="508" t="str">
        <f t="shared" si="7"/>
        <v>Palio černá (Vlevo a vpravo) + Varna černá (Nahoře a dole)</v>
      </c>
      <c r="C87" s="446" t="str">
        <f>$B$30</f>
        <v>Palio černá mat</v>
      </c>
      <c r="D87" s="446" t="str">
        <f>$B$59</f>
        <v>Varna černá</v>
      </c>
      <c r="E87" s="446"/>
      <c r="F87" s="446"/>
      <c r="G87" s="505"/>
      <c r="H87" s="505"/>
      <c r="I87" s="505"/>
      <c r="J87" s="505"/>
      <c r="K87" s="506"/>
      <c r="L87" s="506"/>
      <c r="M87" s="503" t="s">
        <v>2606</v>
      </c>
      <c r="N87" s="523" t="s">
        <v>2607</v>
      </c>
      <c r="O87" s="524" t="s">
        <v>2608</v>
      </c>
      <c r="P87" s="525" t="s">
        <v>2609</v>
      </c>
      <c r="Q87" s="445" t="s">
        <v>2610</v>
      </c>
    </row>
    <row r="88" spans="1:17">
      <c r="A88" s="447"/>
      <c r="B88" s="504"/>
      <c r="C88" s="446"/>
      <c r="D88" s="446"/>
      <c r="E88" s="446"/>
      <c r="F88" s="446"/>
      <c r="G88" s="505"/>
      <c r="H88" s="505"/>
      <c r="I88" s="505"/>
      <c r="J88" s="505"/>
      <c r="K88" s="506"/>
      <c r="L88" s="506"/>
      <c r="M88" s="503"/>
      <c r="N88" s="503"/>
      <c r="O88" s="507"/>
      <c r="P88" s="503"/>
    </row>
    <row r="89" spans="1:17">
      <c r="B89" s="504"/>
      <c r="C89" s="446"/>
      <c r="D89" s="446"/>
      <c r="E89" s="446"/>
      <c r="F89" s="446"/>
      <c r="G89" s="505"/>
      <c r="H89" s="505"/>
      <c r="I89" s="505"/>
      <c r="J89" s="505"/>
      <c r="K89" s="506"/>
      <c r="L89" s="506"/>
      <c r="M89" s="503"/>
      <c r="N89" s="503"/>
      <c r="O89" s="507"/>
      <c r="P89" s="503"/>
    </row>
    <row r="90" spans="1:17">
      <c r="B90" s="488" t="s">
        <v>38</v>
      </c>
      <c r="C90" s="483" t="s">
        <v>39</v>
      </c>
      <c r="D90" s="484"/>
      <c r="E90" s="483" t="s">
        <v>363</v>
      </c>
      <c r="F90" s="484"/>
      <c r="G90" s="483" t="s">
        <v>364</v>
      </c>
      <c r="H90" s="484"/>
      <c r="I90" s="483" t="s">
        <v>135</v>
      </c>
      <c r="J90" s="484"/>
      <c r="K90" s="483" t="s">
        <v>136</v>
      </c>
      <c r="L90" s="484"/>
      <c r="M90" s="503"/>
      <c r="N90" s="503"/>
      <c r="O90" s="507"/>
      <c r="P90" s="503"/>
    </row>
    <row r="91" spans="1:17">
      <c r="B91" s="504" t="str">
        <f>B563</f>
        <v>Transparentní</v>
      </c>
      <c r="C91" s="482">
        <f t="shared" ref="C91:C97" si="8">IF($D$1=1,E91,IF($D$1=2,G91,IF($D$1=3,I91,IF($D$1=4,K91,0))))</f>
        <v>83.854159199999998</v>
      </c>
      <c r="E91" s="526">
        <v>83.854159199999998</v>
      </c>
      <c r="G91" s="527">
        <v>3.03</v>
      </c>
      <c r="I91" s="527">
        <v>13.95</v>
      </c>
      <c r="K91" s="528">
        <v>1111.19</v>
      </c>
      <c r="M91" s="503"/>
      <c r="N91" s="503"/>
      <c r="O91" s="507"/>
      <c r="P91" s="503"/>
    </row>
    <row r="92" spans="1:17">
      <c r="B92" s="504" t="str">
        <f>B564</f>
        <v>Bílá</v>
      </c>
      <c r="C92" s="482">
        <f>IF($D$1=1,E92,IF($D$1=2,G92,IF($D$1=3,I92,IF($D$1=4,K92,0))))</f>
        <v>64.343538000000009</v>
      </c>
      <c r="E92" s="526">
        <v>64.343538000000009</v>
      </c>
      <c r="G92" s="527">
        <v>2.33</v>
      </c>
      <c r="I92" s="527">
        <v>10.7</v>
      </c>
      <c r="K92" s="527">
        <v>852.64</v>
      </c>
      <c r="M92" s="503"/>
      <c r="N92" s="503"/>
      <c r="O92" s="507"/>
      <c r="P92" s="503"/>
    </row>
    <row r="93" spans="1:17">
      <c r="B93" s="504" t="str">
        <f>B565</f>
        <v>Černá</v>
      </c>
      <c r="C93" s="482">
        <f>IF($D$1=1,E93,IF($D$1=2,G93,IF($D$1=3,I93,IF($D$1=4,K93,0))))</f>
        <v>83.854159199999998</v>
      </c>
      <c r="E93" s="526">
        <v>83.854159199999998</v>
      </c>
      <c r="G93" s="527">
        <v>3.03</v>
      </c>
      <c r="I93" s="527">
        <v>13.95</v>
      </c>
      <c r="K93" s="528">
        <v>1111.19</v>
      </c>
      <c r="M93" s="503"/>
      <c r="N93" s="503"/>
      <c r="O93" s="507"/>
      <c r="P93" s="503"/>
    </row>
    <row r="94" spans="1:17" ht="15.75" thickBot="1">
      <c r="B94" s="504" t="s">
        <v>2323</v>
      </c>
      <c r="C94" s="482">
        <f t="shared" si="8"/>
        <v>415.11960000000005</v>
      </c>
      <c r="D94" s="446"/>
      <c r="E94" s="446">
        <v>415.11960000000005</v>
      </c>
      <c r="F94" s="446"/>
      <c r="G94" s="505">
        <v>15.03</v>
      </c>
      <c r="H94" s="505"/>
      <c r="I94" s="505">
        <v>69.06</v>
      </c>
      <c r="J94" s="505"/>
      <c r="K94" s="506">
        <v>5500.27</v>
      </c>
      <c r="L94" s="506"/>
      <c r="M94" s="503"/>
      <c r="N94" s="503"/>
      <c r="O94" s="507"/>
      <c r="P94" s="503"/>
    </row>
    <row r="95" spans="1:17" ht="15.75" thickBot="1">
      <c r="B95" s="529" t="str">
        <f>IF($D$1=1,M95,IF($D$1=2,N95,IF($D$1=3,O95,IF($D$1=4,P95,IF($D$1=5,Q95,0)))))</f>
        <v>Lesk</v>
      </c>
      <c r="C95" s="482">
        <f>IF($D$1=1,E95,IF($D$1=2,G95,IF($D$1=3,I95,IF($D$1=4,K95,0))))</f>
        <v>41.514000000000003</v>
      </c>
      <c r="E95" s="446">
        <v>41.514000000000003</v>
      </c>
      <c r="G95" s="505">
        <v>1.5</v>
      </c>
      <c r="I95" s="505">
        <v>6.9</v>
      </c>
      <c r="K95" s="505">
        <v>550.05999999999995</v>
      </c>
      <c r="M95" s="503" t="s">
        <v>3162</v>
      </c>
      <c r="N95" s="503" t="s">
        <v>3162</v>
      </c>
      <c r="O95" s="507" t="s">
        <v>3166</v>
      </c>
      <c r="P95" s="503" t="s">
        <v>3167</v>
      </c>
      <c r="Q95" s="445" t="s">
        <v>3164</v>
      </c>
    </row>
    <row r="96" spans="1:17">
      <c r="B96" s="529" t="str">
        <f>IF($D$1=1,M96,IF($D$1=2,N96,IF($D$1=3,O96,IF($D$1=4,P96,IF($D$1=5,Q96,0)))))</f>
        <v>Mat</v>
      </c>
      <c r="C96" s="482">
        <f>IF($D$1=1,E96,IF($D$1=2,G96,IF($D$1=3,I96,IF($D$1=4,K96,0))))</f>
        <v>20.757000000000001</v>
      </c>
      <c r="E96" s="446">
        <v>20.757000000000001</v>
      </c>
      <c r="G96" s="505">
        <v>0.75</v>
      </c>
      <c r="I96" s="505">
        <v>3.45</v>
      </c>
      <c r="K96" s="505">
        <v>275.02999999999997</v>
      </c>
      <c r="M96" s="503" t="s">
        <v>3163</v>
      </c>
      <c r="N96" s="503" t="s">
        <v>3163</v>
      </c>
      <c r="O96" s="507" t="s">
        <v>3168</v>
      </c>
      <c r="P96" s="503" t="s">
        <v>3165</v>
      </c>
      <c r="Q96" s="445" t="s">
        <v>3165</v>
      </c>
    </row>
    <row r="97" spans="1:20">
      <c r="B97" s="504" t="s">
        <v>2324</v>
      </c>
      <c r="C97" s="482">
        <f t="shared" si="8"/>
        <v>20.757000000000001</v>
      </c>
      <c r="E97" s="446">
        <v>20.757000000000001</v>
      </c>
      <c r="G97" s="505">
        <v>0.75</v>
      </c>
      <c r="I97" s="505">
        <v>3.45</v>
      </c>
      <c r="K97" s="505">
        <v>275.02999999999997</v>
      </c>
    </row>
    <row r="98" spans="1:20">
      <c r="B98" s="530" t="s">
        <v>19</v>
      </c>
      <c r="C98" s="618" t="s">
        <v>43</v>
      </c>
      <c r="D98" s="618"/>
      <c r="E98" s="618" t="s">
        <v>43</v>
      </c>
      <c r="F98" s="618"/>
      <c r="G98" s="618" t="s">
        <v>43</v>
      </c>
      <c r="H98" s="618"/>
      <c r="I98" s="618" t="s">
        <v>43</v>
      </c>
      <c r="J98" s="618"/>
      <c r="K98" s="618" t="s">
        <v>43</v>
      </c>
      <c r="L98" s="619"/>
      <c r="M98" s="487"/>
    </row>
    <row r="99" spans="1:20">
      <c r="A99" s="612" t="s">
        <v>2295</v>
      </c>
      <c r="B99" s="504" t="str">
        <f t="shared" ref="B99:B164" si="9">IF($D$1=1,M99,IF($D$1=2,N99,IF($D$1=3,O99,IF($D$1=4,P99,IF($D$1=5,Q99,0)))))</f>
        <v>Čiré - maximální rozměr 2550 x 1605 mm</v>
      </c>
      <c r="C99" s="608">
        <f t="shared" ref="C99:D101" si="10">IF($D$1=1,E99,IF($D$1=2,G99,IF($D$1=3,I99,IF($D$1=4,K99,0))))</f>
        <v>975.62400000000002</v>
      </c>
      <c r="D99" s="608">
        <f t="shared" si="10"/>
        <v>0</v>
      </c>
      <c r="E99" s="608">
        <v>975.62400000000002</v>
      </c>
      <c r="F99" s="608"/>
      <c r="G99" s="608">
        <v>33.744604316546763</v>
      </c>
      <c r="H99" s="608"/>
      <c r="I99" s="608">
        <v>152.63999999999999</v>
      </c>
      <c r="J99" s="608"/>
      <c r="K99" s="608">
        <v>13855.015384615384</v>
      </c>
      <c r="L99" s="608"/>
      <c r="M99" s="531" t="s">
        <v>3792</v>
      </c>
      <c r="N99" s="531" t="s">
        <v>3793</v>
      </c>
      <c r="O99" s="531" t="s">
        <v>3794</v>
      </c>
      <c r="P99" s="531" t="s">
        <v>3795</v>
      </c>
      <c r="Q99" s="445" t="s">
        <v>3796</v>
      </c>
    </row>
    <row r="100" spans="1:20">
      <c r="A100" s="612"/>
      <c r="B100" s="504" t="s">
        <v>3462</v>
      </c>
      <c r="C100" s="608">
        <f t="shared" si="10"/>
        <v>134.71037999999999</v>
      </c>
      <c r="D100" s="608">
        <f t="shared" si="10"/>
        <v>0</v>
      </c>
      <c r="E100" s="608">
        <v>134.71037999999999</v>
      </c>
      <c r="F100" s="608"/>
      <c r="G100" s="608">
        <v>5.3</v>
      </c>
      <c r="H100" s="608"/>
      <c r="I100" s="608">
        <v>23.61</v>
      </c>
      <c r="J100" s="608"/>
      <c r="K100" s="608">
        <v>1832.64</v>
      </c>
      <c r="L100" s="608"/>
      <c r="M100" s="531" t="s">
        <v>2219</v>
      </c>
      <c r="N100" s="531" t="s">
        <v>2219</v>
      </c>
      <c r="O100" s="531" t="s">
        <v>2220</v>
      </c>
      <c r="P100" s="531" t="s">
        <v>2218</v>
      </c>
      <c r="Q100" s="445" t="s">
        <v>2635</v>
      </c>
    </row>
    <row r="101" spans="1:20">
      <c r="A101" s="612"/>
      <c r="B101" s="504" t="s">
        <v>3464</v>
      </c>
      <c r="C101" s="608">
        <f t="shared" si="10"/>
        <v>142.44300000000001</v>
      </c>
      <c r="D101" s="608">
        <f t="shared" si="10"/>
        <v>0</v>
      </c>
      <c r="E101" s="608">
        <v>142.44300000000001</v>
      </c>
      <c r="F101" s="608"/>
      <c r="G101" s="608">
        <v>5.6</v>
      </c>
      <c r="H101" s="608"/>
      <c r="I101" s="608">
        <v>24.96</v>
      </c>
      <c r="J101" s="608"/>
      <c r="K101" s="608">
        <v>1937.84</v>
      </c>
      <c r="L101" s="608"/>
      <c r="M101" s="531" t="s">
        <v>2044</v>
      </c>
      <c r="N101" s="531" t="s">
        <v>2044</v>
      </c>
      <c r="O101" s="531" t="s">
        <v>2216</v>
      </c>
      <c r="P101" s="531" t="s">
        <v>2217</v>
      </c>
      <c r="Q101" s="445" t="s">
        <v>2633</v>
      </c>
    </row>
    <row r="102" spans="1:20">
      <c r="A102" s="612"/>
      <c r="B102" s="504" t="str">
        <f t="shared" si="9"/>
        <v>Folie</v>
      </c>
      <c r="C102" s="608">
        <f>IF($D$1=1,E102,IF($D$1=2,G102,IF($D$1=3,I102,IF($D$1=4,K102,0))))</f>
        <v>143.44300000000001</v>
      </c>
      <c r="D102" s="608">
        <f>IF($D$1=1,F102,IF($D$1=2,H102,IF($D$1=3,J102,IF($D$1=4,L102,0))))</f>
        <v>0</v>
      </c>
      <c r="E102" s="608">
        <v>143.44300000000001</v>
      </c>
      <c r="F102" s="608"/>
      <c r="G102" s="608">
        <v>6.6</v>
      </c>
      <c r="H102" s="608"/>
      <c r="I102" s="608">
        <v>25.96</v>
      </c>
      <c r="J102" s="608"/>
      <c r="K102" s="608">
        <v>1938.84</v>
      </c>
      <c r="L102" s="608"/>
      <c r="M102" s="531" t="s">
        <v>1987</v>
      </c>
      <c r="N102" s="531" t="s">
        <v>1987</v>
      </c>
      <c r="O102" s="531" t="s">
        <v>2221</v>
      </c>
      <c r="P102" s="531" t="s">
        <v>2222</v>
      </c>
      <c r="Q102" s="445" t="s">
        <v>2634</v>
      </c>
      <c r="T102" s="445" t="s">
        <v>136</v>
      </c>
    </row>
    <row r="103" spans="1:20">
      <c r="A103" s="612"/>
      <c r="B103" s="504" t="str">
        <f t="shared" si="9"/>
        <v xml:space="preserve">Čiré kalené (dodání 3 týdny) </v>
      </c>
      <c r="C103" s="608">
        <f>IF($D$1=1,E103,IF($D$1=2,G103,IF($D$1=3,I103,IF($D$1=4,K103,0))))</f>
        <v>144.44300000000001</v>
      </c>
      <c r="D103" s="608">
        <f>IF($D$1=1,F103,IF($D$1=2,H103,IF($D$1=3,J103,IF($D$1=4,L103,0))))</f>
        <v>0</v>
      </c>
      <c r="E103" s="608">
        <v>144.44300000000001</v>
      </c>
      <c r="F103" s="608"/>
      <c r="G103" s="608">
        <v>7.6</v>
      </c>
      <c r="H103" s="608"/>
      <c r="I103" s="608">
        <v>26.96</v>
      </c>
      <c r="J103" s="608"/>
      <c r="K103" s="608">
        <v>1939.84</v>
      </c>
      <c r="L103" s="608"/>
      <c r="M103" s="531" t="s">
        <v>3797</v>
      </c>
      <c r="N103" s="531" t="s">
        <v>956</v>
      </c>
      <c r="O103" s="531" t="s">
        <v>3798</v>
      </c>
      <c r="P103" s="531" t="s">
        <v>3799</v>
      </c>
      <c r="Q103" s="445" t="s">
        <v>3800</v>
      </c>
    </row>
    <row r="104" spans="1:20">
      <c r="A104" s="612"/>
      <c r="B104" s="504" t="str">
        <f t="shared" si="9"/>
        <v>Satinato - maximální rozměr 2550 x 1605 mm</v>
      </c>
      <c r="C104" s="608">
        <f t="shared" ref="C104:D157" si="11">IF($D$1=1,E104,IF($D$1=2,G104,IF($D$1=3,I104,IF($D$1=4,K104,0))))</f>
        <v>145.44300000000001</v>
      </c>
      <c r="D104" s="608">
        <f t="shared" si="11"/>
        <v>0</v>
      </c>
      <c r="E104" s="608">
        <v>145.44300000000001</v>
      </c>
      <c r="F104" s="608"/>
      <c r="G104" s="608">
        <v>52.792266187050359</v>
      </c>
      <c r="H104" s="608"/>
      <c r="I104" s="608">
        <v>238.79999999999998</v>
      </c>
      <c r="J104" s="608"/>
      <c r="K104" s="608">
        <v>21675.692307692309</v>
      </c>
      <c r="L104" s="608"/>
      <c r="M104" s="531" t="s">
        <v>3801</v>
      </c>
      <c r="N104" s="531" t="s">
        <v>3802</v>
      </c>
      <c r="O104" s="531" t="s">
        <v>3803</v>
      </c>
      <c r="P104" s="531" t="s">
        <v>3804</v>
      </c>
      <c r="Q104" s="445" t="s">
        <v>3805</v>
      </c>
      <c r="T104" s="445" t="str">
        <f>VLOOKUP(Q104,kombinace_1!DT:DU,2,0)</f>
        <v>Satinato</v>
      </c>
    </row>
    <row r="105" spans="1:20">
      <c r="A105" s="612"/>
      <c r="B105" s="504" t="str">
        <f t="shared" si="9"/>
        <v>MASTER SOFT - maximální rozměr 2000 x 1605 mm</v>
      </c>
      <c r="C105" s="608">
        <f t="shared" si="11"/>
        <v>1978.8600000000001</v>
      </c>
      <c r="D105" s="608">
        <f t="shared" si="11"/>
        <v>0</v>
      </c>
      <c r="E105" s="608">
        <v>1978.8600000000001</v>
      </c>
      <c r="F105" s="608"/>
      <c r="G105" s="608">
        <v>68.444244604316552</v>
      </c>
      <c r="H105" s="608"/>
      <c r="I105" s="608">
        <v>309.59999999999997</v>
      </c>
      <c r="J105" s="608"/>
      <c r="K105" s="608">
        <v>28102.153846153848</v>
      </c>
      <c r="L105" s="608"/>
      <c r="M105" s="531" t="s">
        <v>3806</v>
      </c>
      <c r="N105" s="531" t="s">
        <v>3807</v>
      </c>
      <c r="O105" s="531" t="s">
        <v>3808</v>
      </c>
      <c r="P105" s="531" t="s">
        <v>3809</v>
      </c>
      <c r="Q105" s="445" t="s">
        <v>3810</v>
      </c>
      <c r="T105" s="445" t="str">
        <f>VLOOKUP(Q105,kombinace_1!DT:DU,2,0)</f>
        <v>MASTER SOFT</v>
      </c>
    </row>
    <row r="106" spans="1:20">
      <c r="A106" s="612"/>
      <c r="B106" s="504" t="str">
        <f t="shared" si="9"/>
        <v>Satinato hnědé / Decormat Braz - maximální rozměr 2250 x 1605 mm</v>
      </c>
      <c r="C106" s="608">
        <f t="shared" si="11"/>
        <v>1940.5100000000002</v>
      </c>
      <c r="D106" s="608">
        <f t="shared" si="11"/>
        <v>0</v>
      </c>
      <c r="E106" s="608">
        <v>1940.5100000000002</v>
      </c>
      <c r="F106" s="608"/>
      <c r="G106" s="608">
        <v>67.117805755395679</v>
      </c>
      <c r="H106" s="608"/>
      <c r="I106" s="608">
        <v>303.59999999999997</v>
      </c>
      <c r="J106" s="608"/>
      <c r="K106" s="608">
        <v>27557.538461538457</v>
      </c>
      <c r="L106" s="608"/>
      <c r="M106" s="531" t="s">
        <v>3811</v>
      </c>
      <c r="N106" s="531" t="s">
        <v>3812</v>
      </c>
      <c r="O106" s="531" t="s">
        <v>3813</v>
      </c>
      <c r="P106" s="531" t="s">
        <v>3814</v>
      </c>
      <c r="Q106" s="445" t="s">
        <v>3815</v>
      </c>
      <c r="T106" s="445" t="str">
        <f>VLOOKUP(Q106,kombinace_1!DT:DU,2,0)</f>
        <v>Decormat brązowe</v>
      </c>
    </row>
    <row r="107" spans="1:20">
      <c r="A107" s="612"/>
      <c r="B107" s="504" t="str">
        <f t="shared" si="9"/>
        <v>Satinato grafit / Decormat grafit - maximální rozměr 2250 x 1605 mm</v>
      </c>
      <c r="C107" s="608">
        <f t="shared" si="11"/>
        <v>1940.5100000000002</v>
      </c>
      <c r="D107" s="608">
        <f t="shared" si="11"/>
        <v>0</v>
      </c>
      <c r="E107" s="608">
        <v>1940.5100000000002</v>
      </c>
      <c r="F107" s="608"/>
      <c r="G107" s="608">
        <v>67.117805755395679</v>
      </c>
      <c r="H107" s="608"/>
      <c r="I107" s="608">
        <v>303.59999999999997</v>
      </c>
      <c r="J107" s="608"/>
      <c r="K107" s="608">
        <v>27557.538461538457</v>
      </c>
      <c r="L107" s="608"/>
      <c r="M107" s="531" t="s">
        <v>3816</v>
      </c>
      <c r="N107" s="531" t="s">
        <v>3817</v>
      </c>
      <c r="O107" s="531" t="s">
        <v>3818</v>
      </c>
      <c r="P107" s="531" t="s">
        <v>3819</v>
      </c>
      <c r="Q107" s="445" t="s">
        <v>3820</v>
      </c>
      <c r="T107" s="445" t="str">
        <f>VLOOKUP(Q107,kombinace_1!DT:DU,2,0)</f>
        <v xml:space="preserve">Decormat grafit </v>
      </c>
    </row>
    <row r="108" spans="1:20">
      <c r="A108" s="612"/>
      <c r="B108" s="504" t="str">
        <f t="shared" si="9"/>
        <v>Screen - maximální rozměr 2540 x 1850 mm</v>
      </c>
      <c r="C108" s="608">
        <f>IF($D$1=1,E108,IF($D$1=2,G108,IF($D$1=3,I108,IF($D$1=4,K108,0))))</f>
        <v>2116.92</v>
      </c>
      <c r="D108" s="608">
        <f>IF($D$1=1,F108,IF($D$1=2,H108,IF($D$1=3,J108,IF($D$1=4,L108,0))))</f>
        <v>0</v>
      </c>
      <c r="E108" s="608">
        <v>2116.92</v>
      </c>
      <c r="F108" s="608"/>
      <c r="G108" s="608">
        <v>73.219424460431654</v>
      </c>
      <c r="H108" s="608"/>
      <c r="I108" s="608">
        <v>331.2</v>
      </c>
      <c r="J108" s="608"/>
      <c r="K108" s="608">
        <v>30062.769230769227</v>
      </c>
      <c r="L108" s="608"/>
      <c r="M108" s="531" t="s">
        <v>3821</v>
      </c>
      <c r="N108" s="531" t="s">
        <v>3822</v>
      </c>
      <c r="O108" s="531" t="s">
        <v>3823</v>
      </c>
      <c r="P108" s="531" t="s">
        <v>3824</v>
      </c>
      <c r="Q108" s="445" t="s">
        <v>3825</v>
      </c>
      <c r="T108" s="445" t="str">
        <f>VLOOKUP(Q108,kombinace_1!DT:DU,2,0)</f>
        <v>Screen</v>
      </c>
    </row>
    <row r="109" spans="1:20">
      <c r="A109" s="612"/>
      <c r="B109" s="504" t="str">
        <f t="shared" si="9"/>
        <v>Venus VG10 - maximální rozměr 3210 x 2250 mm</v>
      </c>
      <c r="C109" s="608">
        <f t="shared" si="11"/>
        <v>2061.6960000000004</v>
      </c>
      <c r="D109" s="608">
        <f t="shared" si="11"/>
        <v>0</v>
      </c>
      <c r="E109" s="608">
        <v>2061.6960000000004</v>
      </c>
      <c r="F109" s="608"/>
      <c r="G109" s="608">
        <v>71.309352517985616</v>
      </c>
      <c r="H109" s="608"/>
      <c r="I109" s="608">
        <v>322.56</v>
      </c>
      <c r="J109" s="608"/>
      <c r="K109" s="608">
        <v>29278.523076923077</v>
      </c>
      <c r="L109" s="608"/>
      <c r="M109" s="531" t="s">
        <v>4255</v>
      </c>
      <c r="N109" s="531" t="s">
        <v>4256</v>
      </c>
      <c r="O109" s="531" t="s">
        <v>4257</v>
      </c>
      <c r="P109" s="531" t="s">
        <v>4258</v>
      </c>
      <c r="Q109" s="531" t="s">
        <v>4259</v>
      </c>
      <c r="T109" s="445" t="str">
        <f>VLOOKUP(Q109,kombinace_1!DT:DU,2,0)</f>
        <v xml:space="preserve"> Venus VG10</v>
      </c>
    </row>
    <row r="110" spans="1:20">
      <c r="A110" s="612"/>
      <c r="B110" s="504" t="str">
        <f t="shared" si="9"/>
        <v>Stopsol bronz - maximální rozměr 2250 x 1605 mm</v>
      </c>
      <c r="C110" s="608">
        <f t="shared" si="11"/>
        <v>2577.1200000000003</v>
      </c>
      <c r="D110" s="608">
        <f t="shared" si="11"/>
        <v>0</v>
      </c>
      <c r="E110" s="608">
        <v>2577.1200000000003</v>
      </c>
      <c r="F110" s="608"/>
      <c r="G110" s="608">
        <v>89.136690647482027</v>
      </c>
      <c r="H110" s="608"/>
      <c r="I110" s="608">
        <v>403.2</v>
      </c>
      <c r="J110" s="608"/>
      <c r="K110" s="608">
        <v>36598.153846153844</v>
      </c>
      <c r="L110" s="608"/>
      <c r="M110" s="531" t="s">
        <v>3831</v>
      </c>
      <c r="N110" s="531" t="s">
        <v>3832</v>
      </c>
      <c r="O110" s="531" t="s">
        <v>3833</v>
      </c>
      <c r="P110" s="531" t="s">
        <v>3834</v>
      </c>
      <c r="Q110" s="445" t="s">
        <v>3835</v>
      </c>
      <c r="T110" s="445" t="str">
        <f>VLOOKUP(Q110,kombinace_1!DT:DU,2,0)</f>
        <v>Stopsol brąz</v>
      </c>
    </row>
    <row r="111" spans="1:20">
      <c r="A111" s="612"/>
      <c r="B111" s="504" t="str">
        <f t="shared" si="9"/>
        <v>Lakomat - maximální rozměr 2550 x 1605 mm</v>
      </c>
      <c r="C111" s="608">
        <f>IF($D$1=1,E111,IF($D$1=2,G111,IF($D$1=3,I111,IF($D$1=4,K111,0))))</f>
        <v>1695.0700000000002</v>
      </c>
      <c r="D111" s="608">
        <f>IF($D$1=1,F111,IF($D$1=2,H111,IF($D$1=3,J111,IF($D$1=4,L111,0))))</f>
        <v>0</v>
      </c>
      <c r="E111" s="608">
        <v>1695.0700000000002</v>
      </c>
      <c r="F111" s="608"/>
      <c r="G111" s="608">
        <v>58.628597122302168</v>
      </c>
      <c r="H111" s="608"/>
      <c r="I111" s="608">
        <v>265.2</v>
      </c>
      <c r="J111" s="608"/>
      <c r="K111" s="608">
        <v>24072</v>
      </c>
      <c r="L111" s="608"/>
      <c r="M111" s="531" t="s">
        <v>3836</v>
      </c>
      <c r="N111" s="531" t="s">
        <v>3837</v>
      </c>
      <c r="O111" s="531" t="s">
        <v>3838</v>
      </c>
      <c r="P111" s="531" t="s">
        <v>3839</v>
      </c>
      <c r="Q111" s="445" t="s">
        <v>3840</v>
      </c>
      <c r="T111" s="445" t="str">
        <f>VLOOKUP(Q111,kombinace_1!DT:DU,2,0)</f>
        <v>Lakomat</v>
      </c>
    </row>
    <row r="112" spans="1:20">
      <c r="A112" s="612"/>
      <c r="B112" s="504" t="str">
        <f t="shared" si="9"/>
        <v>MASTER FLEX - maximální rozměr 2000 x 1605 mm</v>
      </c>
      <c r="C112" s="608">
        <f t="shared" si="11"/>
        <v>1978.8600000000001</v>
      </c>
      <c r="D112" s="608">
        <f t="shared" si="11"/>
        <v>0</v>
      </c>
      <c r="E112" s="608">
        <v>1978.8600000000001</v>
      </c>
      <c r="F112" s="608"/>
      <c r="G112" s="608">
        <v>68.444244604316552</v>
      </c>
      <c r="H112" s="608"/>
      <c r="I112" s="608">
        <v>309.59999999999997</v>
      </c>
      <c r="J112" s="608"/>
      <c r="K112" s="608">
        <v>28102.153846153848</v>
      </c>
      <c r="L112" s="608"/>
      <c r="M112" s="531" t="s">
        <v>3841</v>
      </c>
      <c r="N112" s="531" t="s">
        <v>3842</v>
      </c>
      <c r="O112" s="531" t="s">
        <v>3843</v>
      </c>
      <c r="P112" s="531" t="s">
        <v>3844</v>
      </c>
      <c r="Q112" s="445" t="s">
        <v>3845</v>
      </c>
      <c r="T112" s="445" t="str">
        <f>VLOOKUP(Q112,kombinace_1!DT:DU,2,0)</f>
        <v>MASTER FLEX</v>
      </c>
    </row>
    <row r="113" spans="1:20">
      <c r="A113" s="612"/>
      <c r="B113" s="504" t="str">
        <f t="shared" si="9"/>
        <v>Antisol bronz - maximální rozměr 2550 x 1605 mm</v>
      </c>
      <c r="C113" s="608">
        <f t="shared" si="11"/>
        <v>1515.5920000000003</v>
      </c>
      <c r="D113" s="608">
        <f t="shared" si="11"/>
        <v>0</v>
      </c>
      <c r="E113" s="608">
        <v>1515.5920000000003</v>
      </c>
      <c r="F113" s="608"/>
      <c r="G113" s="608">
        <v>52.420863309352519</v>
      </c>
      <c r="H113" s="608"/>
      <c r="I113" s="608">
        <v>237.12</v>
      </c>
      <c r="J113" s="608"/>
      <c r="K113" s="608">
        <v>21523.200000000001</v>
      </c>
      <c r="L113" s="608"/>
      <c r="M113" s="531" t="s">
        <v>3846</v>
      </c>
      <c r="N113" s="531" t="s">
        <v>3847</v>
      </c>
      <c r="O113" s="531" t="s">
        <v>3848</v>
      </c>
      <c r="P113" s="531" t="s">
        <v>3849</v>
      </c>
      <c r="Q113" s="445" t="s">
        <v>3850</v>
      </c>
      <c r="T113" s="445" t="str">
        <f>VLOOKUP(Q113,kombinace_1!DT:DU,2,0)</f>
        <v>Antisol brąz</v>
      </c>
    </row>
    <row r="114" spans="1:20">
      <c r="A114" s="612"/>
      <c r="B114" s="504" t="str">
        <f t="shared" si="9"/>
        <v>Antisol grafit - maximální rozměr 2550 x 1605 mm</v>
      </c>
      <c r="C114" s="608">
        <f t="shared" si="11"/>
        <v>1515.5920000000003</v>
      </c>
      <c r="D114" s="608">
        <f t="shared" si="11"/>
        <v>0</v>
      </c>
      <c r="E114" s="608">
        <v>1515.5920000000003</v>
      </c>
      <c r="F114" s="608"/>
      <c r="G114" s="608">
        <v>52.420863309352519</v>
      </c>
      <c r="H114" s="608"/>
      <c r="I114" s="608">
        <v>237.12</v>
      </c>
      <c r="J114" s="608"/>
      <c r="K114" s="608">
        <v>21523.200000000001</v>
      </c>
      <c r="L114" s="608"/>
      <c r="M114" s="531" t="s">
        <v>3851</v>
      </c>
      <c r="N114" s="531" t="s">
        <v>3852</v>
      </c>
      <c r="O114" s="531" t="s">
        <v>3853</v>
      </c>
      <c r="P114" s="531" t="s">
        <v>3854</v>
      </c>
      <c r="Q114" s="445" t="s">
        <v>3855</v>
      </c>
      <c r="T114" s="445" t="str">
        <f>VLOOKUP(Q114,kombinace_1!DT:DU,2,0)</f>
        <v>Antisol grafit</v>
      </c>
    </row>
    <row r="115" spans="1:20">
      <c r="A115" s="612"/>
      <c r="B115" s="504" t="str">
        <f t="shared" si="9"/>
        <v>Zrcadlo - maximální rozměr 2550 x 1605 mm</v>
      </c>
      <c r="C115" s="608">
        <f t="shared" si="11"/>
        <v>1595.3600000000001</v>
      </c>
      <c r="D115" s="608">
        <f t="shared" si="11"/>
        <v>0</v>
      </c>
      <c r="E115" s="608">
        <v>1595.3600000000001</v>
      </c>
      <c r="F115" s="608"/>
      <c r="G115" s="608">
        <v>55.179856115107917</v>
      </c>
      <c r="H115" s="608"/>
      <c r="I115" s="608">
        <v>249.6</v>
      </c>
      <c r="J115" s="608"/>
      <c r="K115" s="608">
        <v>22656</v>
      </c>
      <c r="L115" s="608"/>
      <c r="M115" s="531" t="s">
        <v>3856</v>
      </c>
      <c r="N115" s="531" t="s">
        <v>3857</v>
      </c>
      <c r="O115" s="531" t="s">
        <v>3858</v>
      </c>
      <c r="P115" s="531" t="s">
        <v>3859</v>
      </c>
      <c r="Q115" s="445" t="s">
        <v>3860</v>
      </c>
      <c r="T115" s="445" t="str">
        <f>VLOOKUP(Q115,kombinace_1!DT:DU,2,0)</f>
        <v>Lustro</v>
      </c>
    </row>
    <row r="116" spans="1:20">
      <c r="A116" s="612"/>
      <c r="B116" s="504" t="str">
        <f t="shared" si="9"/>
        <v>Zrcadlo hnědé - maximální rozměr 2250 x 1605 mm</v>
      </c>
      <c r="C116" s="608">
        <f t="shared" si="11"/>
        <v>2093.9100000000003</v>
      </c>
      <c r="D116" s="608">
        <f t="shared" si="11"/>
        <v>0</v>
      </c>
      <c r="E116" s="608">
        <v>2093.9100000000003</v>
      </c>
      <c r="F116" s="608"/>
      <c r="G116" s="608">
        <v>72.423561151079127</v>
      </c>
      <c r="H116" s="608"/>
      <c r="I116" s="608">
        <v>327.59999999999997</v>
      </c>
      <c r="J116" s="608"/>
      <c r="K116" s="608">
        <v>29736</v>
      </c>
      <c r="L116" s="608"/>
      <c r="M116" s="531" t="s">
        <v>3861</v>
      </c>
      <c r="N116" s="531" t="s">
        <v>3862</v>
      </c>
      <c r="O116" s="531" t="s">
        <v>3863</v>
      </c>
      <c r="P116" s="531" t="s">
        <v>3864</v>
      </c>
      <c r="Q116" s="445" t="s">
        <v>3865</v>
      </c>
      <c r="T116" s="445" t="str">
        <f>VLOOKUP(Q116,kombinace_1!DT:DU,2,0)</f>
        <v>Lustro brązowe</v>
      </c>
    </row>
    <row r="117" spans="1:20">
      <c r="A117" s="612"/>
      <c r="B117" s="504" t="str">
        <f t="shared" si="9"/>
        <v>Zrcadlo grafit - maximální rozměr 2550 x 1605 mm</v>
      </c>
      <c r="C117" s="608">
        <f t="shared" si="11"/>
        <v>2093.9100000000003</v>
      </c>
      <c r="D117" s="608">
        <f t="shared" si="11"/>
        <v>0</v>
      </c>
      <c r="E117" s="608">
        <v>2093.9100000000003</v>
      </c>
      <c r="F117" s="608"/>
      <c r="G117" s="608">
        <v>72.423561151079127</v>
      </c>
      <c r="H117" s="608"/>
      <c r="I117" s="608">
        <v>327.59999999999997</v>
      </c>
      <c r="J117" s="608"/>
      <c r="K117" s="608">
        <v>29736</v>
      </c>
      <c r="L117" s="608"/>
      <c r="M117" s="531" t="s">
        <v>3866</v>
      </c>
      <c r="N117" s="531" t="s">
        <v>3867</v>
      </c>
      <c r="O117" s="531" t="s">
        <v>3868</v>
      </c>
      <c r="P117" s="531" t="s">
        <v>3869</v>
      </c>
      <c r="Q117" s="445" t="s">
        <v>3870</v>
      </c>
      <c r="T117" s="445" t="str">
        <f>VLOOKUP(Q117,kombinace_1!DT:DU,2,0)</f>
        <v>Lustro grafit</v>
      </c>
    </row>
    <row r="118" spans="1:20">
      <c r="A118" s="612"/>
      <c r="B118" s="504" t="str">
        <f t="shared" si="9"/>
        <v>VISIOSUN - maximální rozměr 3210 x 2000 mm</v>
      </c>
      <c r="C118" s="608">
        <f t="shared" si="11"/>
        <v>1978.8600000000001</v>
      </c>
      <c r="D118" s="608">
        <f t="shared" si="11"/>
        <v>0</v>
      </c>
      <c r="E118" s="608">
        <v>1978.8600000000001</v>
      </c>
      <c r="F118" s="608"/>
      <c r="G118" s="608">
        <v>68.444244604316552</v>
      </c>
      <c r="H118" s="608"/>
      <c r="I118" s="608">
        <v>309.59999999999997</v>
      </c>
      <c r="J118" s="608"/>
      <c r="K118" s="608">
        <v>28102.153846153848</v>
      </c>
      <c r="L118" s="608"/>
      <c r="M118" s="531" t="s">
        <v>3871</v>
      </c>
      <c r="N118" s="531" t="s">
        <v>3872</v>
      </c>
      <c r="O118" s="531" t="s">
        <v>3873</v>
      </c>
      <c r="P118" s="531" t="s">
        <v>3874</v>
      </c>
      <c r="Q118" s="445" t="s">
        <v>3875</v>
      </c>
      <c r="T118" s="445" t="str">
        <f>VLOOKUP(Q118,kombinace_1!DT:DU,2,0)</f>
        <v>VISIOSUN</v>
      </c>
    </row>
    <row r="119" spans="1:20">
      <c r="A119" s="612"/>
      <c r="B119" s="504" t="str">
        <f t="shared" si="9"/>
        <v>Krizet - maximální rozměr 2130 x 1650 mm</v>
      </c>
      <c r="C119" s="608">
        <f t="shared" si="11"/>
        <v>2116.92</v>
      </c>
      <c r="D119" s="608">
        <f t="shared" si="11"/>
        <v>0</v>
      </c>
      <c r="E119" s="608">
        <v>2116.92</v>
      </c>
      <c r="F119" s="608"/>
      <c r="G119" s="608">
        <v>73.219424460431654</v>
      </c>
      <c r="H119" s="608"/>
      <c r="I119" s="608">
        <v>331.2</v>
      </c>
      <c r="J119" s="608"/>
      <c r="K119" s="608">
        <v>30062.769230769227</v>
      </c>
      <c r="L119" s="608"/>
      <c r="M119" s="531" t="s">
        <v>3876</v>
      </c>
      <c r="N119" s="531" t="s">
        <v>3877</v>
      </c>
      <c r="O119" s="531" t="s">
        <v>3878</v>
      </c>
      <c r="P119" s="531" t="s">
        <v>3879</v>
      </c>
      <c r="Q119" s="445" t="s">
        <v>3880</v>
      </c>
      <c r="T119" s="445" t="str">
        <f>VLOOKUP(Q119,kombinace_1!DT:DU,2,0)</f>
        <v>Krizet</v>
      </c>
    </row>
    <row r="120" spans="1:20">
      <c r="A120" s="612"/>
      <c r="B120" s="504" t="str">
        <f t="shared" si="9"/>
        <v>Master (Carre) - maximální rozměr 2000 x 1605 mm</v>
      </c>
      <c r="C120" s="608">
        <f t="shared" si="11"/>
        <v>1715.0120000000004</v>
      </c>
      <c r="D120" s="608">
        <f t="shared" si="11"/>
        <v>0</v>
      </c>
      <c r="E120" s="608">
        <v>1715.0120000000004</v>
      </c>
      <c r="F120" s="608"/>
      <c r="G120" s="608">
        <v>59.318345323741013</v>
      </c>
      <c r="H120" s="608"/>
      <c r="I120" s="608">
        <v>268.32</v>
      </c>
      <c r="J120" s="608"/>
      <c r="K120" s="608">
        <v>24355.200000000004</v>
      </c>
      <c r="L120" s="608"/>
      <c r="M120" s="531" t="s">
        <v>3881</v>
      </c>
      <c r="N120" s="531" t="s">
        <v>3882</v>
      </c>
      <c r="O120" s="531" t="s">
        <v>3883</v>
      </c>
      <c r="P120" s="531" t="s">
        <v>3884</v>
      </c>
      <c r="Q120" s="445" t="s">
        <v>3885</v>
      </c>
      <c r="T120" s="445" t="str">
        <f>VLOOKUP(Q120,kombinace_1!DT:DU,2,0)</f>
        <v>Master (Carre)</v>
      </c>
    </row>
    <row r="121" spans="1:20">
      <c r="A121" s="612"/>
      <c r="B121" s="504" t="str">
        <f t="shared" si="9"/>
        <v>Master  Lens  - maximální rozměr 2000 x 1605 mm</v>
      </c>
      <c r="C121" s="608">
        <f t="shared" si="11"/>
        <v>1715.0120000000004</v>
      </c>
      <c r="D121" s="608">
        <f t="shared" si="11"/>
        <v>0</v>
      </c>
      <c r="E121" s="608">
        <v>1715.0120000000004</v>
      </c>
      <c r="F121" s="608"/>
      <c r="G121" s="608">
        <v>59.318345323741013</v>
      </c>
      <c r="H121" s="608"/>
      <c r="I121" s="608">
        <v>268.32</v>
      </c>
      <c r="J121" s="608"/>
      <c r="K121" s="608">
        <v>24355.200000000004</v>
      </c>
      <c r="L121" s="608"/>
      <c r="M121" s="531" t="s">
        <v>3886</v>
      </c>
      <c r="N121" s="531" t="s">
        <v>3887</v>
      </c>
      <c r="O121" s="531" t="s">
        <v>3888</v>
      </c>
      <c r="P121" s="531" t="s">
        <v>3889</v>
      </c>
      <c r="Q121" s="445" t="s">
        <v>3890</v>
      </c>
      <c r="T121" s="445" t="str">
        <f>VLOOKUP(Q121,kombinace_1!DT:DU,2,0)</f>
        <v xml:space="preserve">Master  Lens </v>
      </c>
    </row>
    <row r="122" spans="1:20">
      <c r="A122" s="612"/>
      <c r="B122" s="504" t="str">
        <f t="shared" si="9"/>
        <v>Master  Ligne - maximální rozměr 2000 x 1605 mm</v>
      </c>
      <c r="C122" s="608">
        <f t="shared" si="11"/>
        <v>1715.0120000000004</v>
      </c>
      <c r="D122" s="608">
        <f t="shared" si="11"/>
        <v>0</v>
      </c>
      <c r="E122" s="608">
        <v>1715.0120000000004</v>
      </c>
      <c r="F122" s="608"/>
      <c r="G122" s="608">
        <v>59.318345323741013</v>
      </c>
      <c r="H122" s="608"/>
      <c r="I122" s="608">
        <v>268.32</v>
      </c>
      <c r="J122" s="608"/>
      <c r="K122" s="608">
        <v>24355.200000000004</v>
      </c>
      <c r="L122" s="608"/>
      <c r="M122" s="532" t="s">
        <v>3891</v>
      </c>
      <c r="N122" s="531" t="s">
        <v>3892</v>
      </c>
      <c r="O122" s="531" t="s">
        <v>3893</v>
      </c>
      <c r="P122" s="531" t="s">
        <v>3894</v>
      </c>
      <c r="Q122" s="445" t="s">
        <v>3895</v>
      </c>
      <c r="T122" s="445" t="str">
        <f>VLOOKUP(Q122,kombinace_1!DT:DU,2,0)</f>
        <v>Master  Ligne</v>
      </c>
    </row>
    <row r="123" spans="1:20">
      <c r="A123" s="612"/>
      <c r="B123" s="504" t="str">
        <f t="shared" si="9"/>
        <v>Master  Point - maximální rozměr 2000 x 1605 mm</v>
      </c>
      <c r="C123" s="608">
        <f>IF($D$1=1,E123,IF($D$1=2,G123,IF($D$1=3,I123,IF($D$1=4,K123,0))))</f>
        <v>1715.0120000000004</v>
      </c>
      <c r="D123" s="608">
        <f>IF($D$1=1,F123,IF($D$1=2,H123,IF($D$1=3,J123,IF($D$1=4,L123,0))))</f>
        <v>0</v>
      </c>
      <c r="E123" s="608">
        <v>1715.0120000000004</v>
      </c>
      <c r="F123" s="608"/>
      <c r="G123" s="608">
        <v>59.318345323741013</v>
      </c>
      <c r="H123" s="608"/>
      <c r="I123" s="608">
        <v>268.32</v>
      </c>
      <c r="J123" s="608"/>
      <c r="K123" s="608">
        <v>24355.200000000004</v>
      </c>
      <c r="L123" s="608"/>
      <c r="M123" s="532" t="s">
        <v>3896</v>
      </c>
      <c r="N123" s="531" t="s">
        <v>3897</v>
      </c>
      <c r="O123" s="531" t="s">
        <v>3898</v>
      </c>
      <c r="P123" s="531" t="s">
        <v>3899</v>
      </c>
      <c r="Q123" s="445" t="s">
        <v>3900</v>
      </c>
      <c r="T123" s="445" t="str">
        <f>VLOOKUP(Q123,kombinace_1!DT:DU,2,0)</f>
        <v>Master  Point</v>
      </c>
    </row>
    <row r="124" spans="1:20">
      <c r="A124" s="612"/>
      <c r="B124" s="504" t="str">
        <f t="shared" si="9"/>
        <v>FLUTES - maximální rozměr 2540 x 1610 mm</v>
      </c>
      <c r="C124" s="608">
        <f t="shared" si="11"/>
        <v>2293.3300000000004</v>
      </c>
      <c r="D124" s="608">
        <f t="shared" si="11"/>
        <v>0</v>
      </c>
      <c r="E124" s="608">
        <v>2293.3300000000004</v>
      </c>
      <c r="F124" s="608"/>
      <c r="G124" s="608">
        <v>79.321043165467628</v>
      </c>
      <c r="H124" s="608"/>
      <c r="I124" s="608">
        <v>358.8</v>
      </c>
      <c r="J124" s="608"/>
      <c r="K124" s="608">
        <v>32568</v>
      </c>
      <c r="L124" s="608"/>
      <c r="M124" s="532" t="s">
        <v>3901</v>
      </c>
      <c r="N124" s="531" t="s">
        <v>3902</v>
      </c>
      <c r="O124" s="531" t="s">
        <v>3903</v>
      </c>
      <c r="P124" s="531" t="s">
        <v>3904</v>
      </c>
      <c r="Q124" s="445" t="s">
        <v>3905</v>
      </c>
      <c r="T124" s="445" t="str">
        <f>VLOOKUP(Q124,kombinace_1!DT:DU,2,0)</f>
        <v>FLUTES</v>
      </c>
    </row>
    <row r="125" spans="1:20">
      <c r="A125" s="612"/>
      <c r="B125" s="504" t="str">
        <f t="shared" si="9"/>
        <v>Master  Shine - maximální rozměr 2000 x 1605 mm</v>
      </c>
      <c r="C125" s="608">
        <f t="shared" si="11"/>
        <v>1715.0120000000004</v>
      </c>
      <c r="D125" s="608">
        <f t="shared" si="11"/>
        <v>0</v>
      </c>
      <c r="E125" s="608">
        <v>1715.0120000000004</v>
      </c>
      <c r="F125" s="608"/>
      <c r="G125" s="608">
        <v>59.318345323741013</v>
      </c>
      <c r="H125" s="608"/>
      <c r="I125" s="608">
        <v>268.32</v>
      </c>
      <c r="J125" s="608"/>
      <c r="K125" s="608">
        <v>24355.200000000004</v>
      </c>
      <c r="L125" s="608"/>
      <c r="M125" s="532" t="s">
        <v>3906</v>
      </c>
      <c r="N125" s="531" t="s">
        <v>3907</v>
      </c>
      <c r="O125" s="531" t="s">
        <v>3908</v>
      </c>
      <c r="P125" s="531" t="s">
        <v>3909</v>
      </c>
      <c r="Q125" s="445" t="s">
        <v>3910</v>
      </c>
      <c r="T125" s="445" t="str">
        <f>VLOOKUP(Q125,kombinace_1!DT:DU,2,0)</f>
        <v>Master  Shine</v>
      </c>
    </row>
    <row r="126" spans="1:20">
      <c r="A126" s="612"/>
      <c r="B126" s="504" t="str">
        <f t="shared" si="9"/>
        <v>Lacobel RAL 1013 - maximální rozměr 2550 x 1605 mm</v>
      </c>
      <c r="C126" s="608">
        <f t="shared" si="11"/>
        <v>2208.96</v>
      </c>
      <c r="D126" s="608">
        <f t="shared" si="11"/>
        <v>0</v>
      </c>
      <c r="E126" s="608">
        <v>2208.96</v>
      </c>
      <c r="F126" s="608"/>
      <c r="G126" s="608">
        <v>76.402877697841717</v>
      </c>
      <c r="H126" s="608"/>
      <c r="I126" s="608">
        <v>345.59999999999997</v>
      </c>
      <c r="J126" s="608"/>
      <c r="K126" s="608">
        <v>31369.846153846152</v>
      </c>
      <c r="L126" s="608"/>
      <c r="M126" s="532" t="s">
        <v>3911</v>
      </c>
      <c r="N126" s="532" t="s">
        <v>3912</v>
      </c>
      <c r="O126" s="531" t="s">
        <v>3913</v>
      </c>
      <c r="P126" s="532" t="s">
        <v>3914</v>
      </c>
      <c r="Q126" s="445" t="s">
        <v>3915</v>
      </c>
      <c r="T126" s="445" t="str">
        <f>VLOOKUP(Q126,kombinace_1!DT:DU,2,0)</f>
        <v>Lacobel RAL 1013</v>
      </c>
    </row>
    <row r="127" spans="1:20">
      <c r="A127" s="612"/>
      <c r="B127" s="504" t="str">
        <f t="shared" si="9"/>
        <v>Lacobel RAL 1014 - maximální rozměr 2550 x 1605 mm</v>
      </c>
      <c r="C127" s="608">
        <f t="shared" si="11"/>
        <v>1840.8</v>
      </c>
      <c r="D127" s="608">
        <f t="shared" si="11"/>
        <v>0</v>
      </c>
      <c r="E127" s="608">
        <v>1840.8</v>
      </c>
      <c r="F127" s="608"/>
      <c r="G127" s="608">
        <v>63.669064748201436</v>
      </c>
      <c r="H127" s="608"/>
      <c r="I127" s="608">
        <v>288</v>
      </c>
      <c r="J127" s="608"/>
      <c r="K127" s="608">
        <v>26141.538461538457</v>
      </c>
      <c r="L127" s="608"/>
      <c r="M127" s="532" t="s">
        <v>3916</v>
      </c>
      <c r="N127" s="532" t="s">
        <v>3917</v>
      </c>
      <c r="O127" s="531" t="s">
        <v>3918</v>
      </c>
      <c r="P127" s="532" t="s">
        <v>3919</v>
      </c>
      <c r="Q127" s="445" t="s">
        <v>3920</v>
      </c>
      <c r="T127" s="445" t="str">
        <f>VLOOKUP(Q127,kombinace_1!DT:DU,2,0)</f>
        <v>Lacobel RAL 1014</v>
      </c>
    </row>
    <row r="128" spans="1:20">
      <c r="A128" s="612"/>
      <c r="B128" s="504" t="str">
        <f t="shared" si="9"/>
        <v>Lacobel RAL 1015 - maximální rozměr 2550 x 1605 mm</v>
      </c>
      <c r="C128" s="608">
        <f t="shared" si="11"/>
        <v>1840.8</v>
      </c>
      <c r="D128" s="608">
        <f t="shared" si="11"/>
        <v>0</v>
      </c>
      <c r="E128" s="608">
        <v>1840.8</v>
      </c>
      <c r="F128" s="608"/>
      <c r="G128" s="608">
        <v>63.669064748201436</v>
      </c>
      <c r="H128" s="608"/>
      <c r="I128" s="608">
        <v>288</v>
      </c>
      <c r="J128" s="608"/>
      <c r="K128" s="608">
        <v>26141.538461538457</v>
      </c>
      <c r="L128" s="608"/>
      <c r="M128" s="532" t="s">
        <v>3921</v>
      </c>
      <c r="N128" s="532" t="s">
        <v>3922</v>
      </c>
      <c r="O128" s="531" t="s">
        <v>3923</v>
      </c>
      <c r="P128" s="532" t="s">
        <v>3924</v>
      </c>
      <c r="Q128" s="445" t="s">
        <v>3925</v>
      </c>
      <c r="T128" s="445" t="str">
        <f>VLOOKUP(Q128,kombinace_1!DT:DU,2,0)</f>
        <v>Lacobel RAL 1015</v>
      </c>
    </row>
    <row r="129" spans="1:20">
      <c r="A129" s="612"/>
      <c r="B129" s="504" t="str">
        <f t="shared" si="9"/>
        <v>Lacobel RAL 2001 - maximální rozměr 2550 x 1605 mm</v>
      </c>
      <c r="C129" s="608">
        <f t="shared" si="11"/>
        <v>2208.96</v>
      </c>
      <c r="D129" s="608">
        <f t="shared" si="11"/>
        <v>0</v>
      </c>
      <c r="E129" s="608">
        <v>2208.96</v>
      </c>
      <c r="F129" s="608"/>
      <c r="G129" s="608">
        <v>76.402877697841717</v>
      </c>
      <c r="H129" s="608"/>
      <c r="I129" s="608">
        <v>345.59999999999997</v>
      </c>
      <c r="J129" s="608"/>
      <c r="K129" s="608">
        <v>31369.846153846152</v>
      </c>
      <c r="L129" s="608"/>
      <c r="M129" s="532" t="s">
        <v>3926</v>
      </c>
      <c r="N129" s="532" t="s">
        <v>3927</v>
      </c>
      <c r="O129" s="531" t="s">
        <v>3928</v>
      </c>
      <c r="P129" s="532" t="s">
        <v>3929</v>
      </c>
      <c r="Q129" s="445" t="s">
        <v>3930</v>
      </c>
      <c r="T129" s="445" t="str">
        <f>VLOOKUP(Q129,kombinace_1!DT:DU,2,0)</f>
        <v>Lacobel RAL 2001</v>
      </c>
    </row>
    <row r="130" spans="1:20">
      <c r="A130" s="612"/>
      <c r="B130" s="504" t="str">
        <f t="shared" si="9"/>
        <v>Lacobel RAL 3004 - maximální rozměr 2550 x 1605 mm</v>
      </c>
      <c r="C130" s="608">
        <f t="shared" si="11"/>
        <v>2208.96</v>
      </c>
      <c r="D130" s="608">
        <f t="shared" si="11"/>
        <v>0</v>
      </c>
      <c r="E130" s="608">
        <v>2208.96</v>
      </c>
      <c r="F130" s="608"/>
      <c r="G130" s="608">
        <v>76.402877697841717</v>
      </c>
      <c r="H130" s="608"/>
      <c r="I130" s="608">
        <v>345.59999999999997</v>
      </c>
      <c r="J130" s="608"/>
      <c r="K130" s="608">
        <v>31369.846153846152</v>
      </c>
      <c r="L130" s="608"/>
      <c r="M130" s="532" t="s">
        <v>3931</v>
      </c>
      <c r="N130" s="532" t="s">
        <v>3932</v>
      </c>
      <c r="O130" s="531" t="s">
        <v>3933</v>
      </c>
      <c r="P130" s="532" t="s">
        <v>3934</v>
      </c>
      <c r="Q130" s="445" t="s">
        <v>3935</v>
      </c>
      <c r="T130" s="445" t="str">
        <f>VLOOKUP(Q130,kombinace_1!DT:DU,2,0)</f>
        <v>Lacobel RAL 3004</v>
      </c>
    </row>
    <row r="131" spans="1:20">
      <c r="A131" s="612"/>
      <c r="B131" s="504" t="str">
        <f t="shared" si="9"/>
        <v>Lacobel RAL 4006 - maximální rozměr 2550 x 1605 mm</v>
      </c>
      <c r="C131" s="608">
        <f t="shared" si="11"/>
        <v>2208.96</v>
      </c>
      <c r="D131" s="608">
        <f t="shared" si="11"/>
        <v>0</v>
      </c>
      <c r="E131" s="608">
        <v>2208.96</v>
      </c>
      <c r="F131" s="608"/>
      <c r="G131" s="608">
        <v>76.402877697841717</v>
      </c>
      <c r="H131" s="608"/>
      <c r="I131" s="608">
        <v>345.59999999999997</v>
      </c>
      <c r="J131" s="608"/>
      <c r="K131" s="608">
        <v>31369.846153846152</v>
      </c>
      <c r="L131" s="608"/>
      <c r="M131" s="532" t="s">
        <v>3936</v>
      </c>
      <c r="N131" s="532" t="s">
        <v>3937</v>
      </c>
      <c r="O131" s="531" t="s">
        <v>3938</v>
      </c>
      <c r="P131" s="532" t="s">
        <v>3939</v>
      </c>
      <c r="Q131" s="445" t="s">
        <v>3940</v>
      </c>
      <c r="T131" s="445" t="str">
        <f>VLOOKUP(Q131,kombinace_1!DT:DU,2,0)</f>
        <v>Lacobel RAL 4006</v>
      </c>
    </row>
    <row r="132" spans="1:20">
      <c r="A132" s="612"/>
      <c r="B132" s="504" t="str">
        <f t="shared" si="9"/>
        <v>Lacobel RAL 5002 - maximální rozměr 2550 x 1605 mm</v>
      </c>
      <c r="C132" s="608">
        <f t="shared" si="11"/>
        <v>2208.96</v>
      </c>
      <c r="D132" s="608">
        <f t="shared" si="11"/>
        <v>0</v>
      </c>
      <c r="E132" s="608">
        <v>2208.96</v>
      </c>
      <c r="F132" s="608"/>
      <c r="G132" s="608">
        <v>76.402877697841717</v>
      </c>
      <c r="H132" s="608"/>
      <c r="I132" s="608">
        <v>345.59999999999997</v>
      </c>
      <c r="J132" s="608"/>
      <c r="K132" s="608">
        <v>31369.846153846152</v>
      </c>
      <c r="L132" s="608"/>
      <c r="M132" s="532" t="s">
        <v>3941</v>
      </c>
      <c r="N132" s="532" t="s">
        <v>3942</v>
      </c>
      <c r="O132" s="531" t="s">
        <v>3943</v>
      </c>
      <c r="P132" s="532" t="s">
        <v>3944</v>
      </c>
      <c r="Q132" s="445" t="s">
        <v>3945</v>
      </c>
      <c r="T132" s="445" t="str">
        <f>VLOOKUP(Q132,kombinace_1!DT:DU,2,0)</f>
        <v>Lacobel RAL 5002</v>
      </c>
    </row>
    <row r="133" spans="1:20">
      <c r="A133" s="612"/>
      <c r="B133" s="504" t="str">
        <f t="shared" si="9"/>
        <v>Lacobel RAL 7035 - maximální rozměr 2550 x 1605 mm</v>
      </c>
      <c r="C133" s="608">
        <f t="shared" si="11"/>
        <v>1840.8</v>
      </c>
      <c r="D133" s="608">
        <f t="shared" si="11"/>
        <v>0</v>
      </c>
      <c r="E133" s="608">
        <v>1840.8</v>
      </c>
      <c r="F133" s="608"/>
      <c r="G133" s="608">
        <v>63.669064748201436</v>
      </c>
      <c r="H133" s="608"/>
      <c r="I133" s="608">
        <v>288</v>
      </c>
      <c r="J133" s="608"/>
      <c r="K133" s="608">
        <v>26141.538461538457</v>
      </c>
      <c r="L133" s="608"/>
      <c r="M133" s="532" t="s">
        <v>3946</v>
      </c>
      <c r="N133" s="532" t="s">
        <v>3947</v>
      </c>
      <c r="O133" s="531" t="s">
        <v>3948</v>
      </c>
      <c r="P133" s="532" t="s">
        <v>3949</v>
      </c>
      <c r="Q133" s="445" t="s">
        <v>3950</v>
      </c>
      <c r="T133" s="445" t="str">
        <f>VLOOKUP(Q133,kombinace_1!DT:DU,2,0)</f>
        <v>Lacobel RAL 7035</v>
      </c>
    </row>
    <row r="134" spans="1:20">
      <c r="A134" s="612"/>
      <c r="B134" s="504" t="str">
        <f t="shared" si="9"/>
        <v>Lacobel RAL 8017 - maximální rozměr 2550 x 1605 mm</v>
      </c>
      <c r="C134" s="608">
        <f t="shared" si="11"/>
        <v>2208.96</v>
      </c>
      <c r="D134" s="608">
        <f t="shared" si="11"/>
        <v>0</v>
      </c>
      <c r="E134" s="608">
        <v>2208.96</v>
      </c>
      <c r="F134" s="608"/>
      <c r="G134" s="608">
        <v>76.402877697841717</v>
      </c>
      <c r="H134" s="608"/>
      <c r="I134" s="608">
        <v>345.59999999999997</v>
      </c>
      <c r="J134" s="608"/>
      <c r="K134" s="608">
        <v>31369.846153846152</v>
      </c>
      <c r="L134" s="608"/>
      <c r="M134" s="532" t="s">
        <v>3951</v>
      </c>
      <c r="N134" s="532" t="s">
        <v>3952</v>
      </c>
      <c r="O134" s="531" t="s">
        <v>3953</v>
      </c>
      <c r="P134" s="532" t="s">
        <v>3954</v>
      </c>
      <c r="Q134" s="445" t="s">
        <v>3955</v>
      </c>
      <c r="T134" s="445" t="str">
        <f>VLOOKUP(Q134,kombinace_1!DT:DU,2,0)</f>
        <v>Lacobel RAL 8017</v>
      </c>
    </row>
    <row r="135" spans="1:20">
      <c r="A135" s="612"/>
      <c r="B135" s="504" t="str">
        <f t="shared" si="9"/>
        <v>Lacobel RAL 9003 - maximální rozměr 2550 x 1605 mm</v>
      </c>
      <c r="C135" s="608">
        <f t="shared" si="11"/>
        <v>2208.96</v>
      </c>
      <c r="D135" s="608">
        <f t="shared" si="11"/>
        <v>0</v>
      </c>
      <c r="E135" s="608">
        <v>2208.96</v>
      </c>
      <c r="F135" s="608"/>
      <c r="G135" s="608">
        <v>76.402877697841717</v>
      </c>
      <c r="H135" s="608"/>
      <c r="I135" s="608">
        <v>345.59999999999997</v>
      </c>
      <c r="J135" s="608"/>
      <c r="K135" s="608">
        <v>31369.846153846152</v>
      </c>
      <c r="L135" s="608"/>
      <c r="M135" s="532" t="s">
        <v>3956</v>
      </c>
      <c r="N135" s="532" t="s">
        <v>3957</v>
      </c>
      <c r="O135" s="531" t="s">
        <v>3958</v>
      </c>
      <c r="P135" s="532" t="s">
        <v>3959</v>
      </c>
      <c r="Q135" s="445" t="s">
        <v>3960</v>
      </c>
      <c r="T135" s="445" t="str">
        <f>VLOOKUP(Q135,kombinace_1!DT:DU,2,0)</f>
        <v>Lacobel RAL 9003</v>
      </c>
    </row>
    <row r="136" spans="1:20">
      <c r="A136" s="612"/>
      <c r="B136" s="504" t="str">
        <f t="shared" si="9"/>
        <v>Lacobel RAL 9005 - maximální rozměr 2550 x 1605 mm</v>
      </c>
      <c r="C136" s="608">
        <f t="shared" si="11"/>
        <v>1675.1280000000004</v>
      </c>
      <c r="D136" s="608">
        <f t="shared" si="11"/>
        <v>0</v>
      </c>
      <c r="E136" s="608">
        <v>1675.1280000000004</v>
      </c>
      <c r="F136" s="608"/>
      <c r="G136" s="608">
        <v>57.938848920863315</v>
      </c>
      <c r="H136" s="608"/>
      <c r="I136" s="608">
        <v>262.08</v>
      </c>
      <c r="J136" s="608"/>
      <c r="K136" s="608">
        <v>23788.800000000003</v>
      </c>
      <c r="L136" s="608"/>
      <c r="M136" s="532" t="s">
        <v>3961</v>
      </c>
      <c r="N136" s="532" t="s">
        <v>3962</v>
      </c>
      <c r="O136" s="531" t="s">
        <v>3963</v>
      </c>
      <c r="P136" s="532" t="s">
        <v>3964</v>
      </c>
      <c r="Q136" s="445" t="s">
        <v>3965</v>
      </c>
      <c r="T136" s="445" t="str">
        <f>VLOOKUP(Q136,kombinace_1!DT:DU,2,0)</f>
        <v>Lacobel RAL 9005</v>
      </c>
    </row>
    <row r="137" spans="1:20">
      <c r="A137" s="612"/>
      <c r="B137" s="504" t="str">
        <f t="shared" si="9"/>
        <v>Lacobel RAL 9006 - maximální rozměr 2550 x 1605 mm</v>
      </c>
      <c r="C137" s="608">
        <f t="shared" si="11"/>
        <v>2208.96</v>
      </c>
      <c r="D137" s="608">
        <f t="shared" si="11"/>
        <v>0</v>
      </c>
      <c r="E137" s="608">
        <v>2208.96</v>
      </c>
      <c r="F137" s="608"/>
      <c r="G137" s="608">
        <v>76.402877697841717</v>
      </c>
      <c r="H137" s="608"/>
      <c r="I137" s="608">
        <v>345.59999999999997</v>
      </c>
      <c r="J137" s="608"/>
      <c r="K137" s="608">
        <v>31369.846153846152</v>
      </c>
      <c r="L137" s="608"/>
      <c r="M137" s="532" t="s">
        <v>3966</v>
      </c>
      <c r="N137" s="532" t="s">
        <v>3967</v>
      </c>
      <c r="O137" s="531" t="s">
        <v>3968</v>
      </c>
      <c r="P137" s="532" t="s">
        <v>3969</v>
      </c>
      <c r="Q137" s="445" t="s">
        <v>3970</v>
      </c>
      <c r="T137" s="445" t="str">
        <f>VLOOKUP(Q137,kombinace_1!DT:DU,2,0)</f>
        <v>Lacobel RAL 9006</v>
      </c>
    </row>
    <row r="138" spans="1:20">
      <c r="A138" s="612"/>
      <c r="B138" s="504" t="str">
        <f t="shared" si="9"/>
        <v>Lacobel RAL 9007 - maximální rozměr 2550 x 1605 mm</v>
      </c>
      <c r="C138" s="608">
        <f t="shared" si="11"/>
        <v>2208.96</v>
      </c>
      <c r="D138" s="608">
        <f t="shared" si="11"/>
        <v>0</v>
      </c>
      <c r="E138" s="608">
        <v>2208.96</v>
      </c>
      <c r="F138" s="608"/>
      <c r="G138" s="608">
        <v>76.402877697841717</v>
      </c>
      <c r="H138" s="608"/>
      <c r="I138" s="608">
        <v>345.59999999999997</v>
      </c>
      <c r="J138" s="608"/>
      <c r="K138" s="608">
        <v>31369.846153846152</v>
      </c>
      <c r="L138" s="608"/>
      <c r="M138" s="532" t="s">
        <v>3971</v>
      </c>
      <c r="N138" s="532" t="s">
        <v>3972</v>
      </c>
      <c r="O138" s="531" t="s">
        <v>3973</v>
      </c>
      <c r="P138" s="532" t="s">
        <v>3974</v>
      </c>
      <c r="Q138" s="445" t="s">
        <v>3975</v>
      </c>
      <c r="T138" s="445" t="str">
        <f>VLOOKUP(Q138,kombinace_1!DT:DU,2,0)</f>
        <v>Lacobel RAL 9007</v>
      </c>
    </row>
    <row r="139" spans="1:20">
      <c r="A139" s="612"/>
      <c r="B139" s="504" t="str">
        <f t="shared" si="9"/>
        <v>Lacobel RAL 9010 - maximální rozměr 2550 x 1605 mm</v>
      </c>
      <c r="C139" s="608">
        <f t="shared" si="11"/>
        <v>1675.1280000000004</v>
      </c>
      <c r="D139" s="608">
        <f t="shared" si="11"/>
        <v>0</v>
      </c>
      <c r="E139" s="608">
        <v>1675.1280000000004</v>
      </c>
      <c r="F139" s="608"/>
      <c r="G139" s="608">
        <v>57.938848920863315</v>
      </c>
      <c r="H139" s="608"/>
      <c r="I139" s="608">
        <v>262.08</v>
      </c>
      <c r="J139" s="608"/>
      <c r="K139" s="608">
        <v>23788.800000000003</v>
      </c>
      <c r="L139" s="608"/>
      <c r="M139" s="532" t="s">
        <v>3976</v>
      </c>
      <c r="N139" s="532" t="s">
        <v>3977</v>
      </c>
      <c r="O139" s="531" t="s">
        <v>3978</v>
      </c>
      <c r="P139" s="532" t="s">
        <v>3979</v>
      </c>
      <c r="Q139" s="445" t="s">
        <v>3980</v>
      </c>
      <c r="T139" s="445" t="str">
        <f>VLOOKUP(Q139,kombinace_1!DT:DU,2,0)</f>
        <v>Lacobel RAL 9010</v>
      </c>
    </row>
    <row r="140" spans="1:20">
      <c r="A140" s="612"/>
      <c r="B140" s="504" t="str">
        <f t="shared" si="9"/>
        <v>Lacobel RAL 0128 - maximální rozměr 2550 x 1605 mm</v>
      </c>
      <c r="C140" s="608">
        <f t="shared" si="11"/>
        <v>2208.96</v>
      </c>
      <c r="D140" s="608">
        <f t="shared" si="11"/>
        <v>0</v>
      </c>
      <c r="E140" s="608">
        <v>2208.96</v>
      </c>
      <c r="F140" s="608"/>
      <c r="G140" s="608">
        <v>76.402877697841717</v>
      </c>
      <c r="H140" s="608"/>
      <c r="I140" s="608">
        <v>345.59999999999997</v>
      </c>
      <c r="J140" s="608"/>
      <c r="K140" s="608">
        <v>31369.846153846152</v>
      </c>
      <c r="L140" s="608"/>
      <c r="M140" s="532" t="s">
        <v>3981</v>
      </c>
      <c r="N140" s="532" t="s">
        <v>3982</v>
      </c>
      <c r="O140" s="531" t="s">
        <v>3983</v>
      </c>
      <c r="P140" s="532" t="s">
        <v>3984</v>
      </c>
      <c r="Q140" s="445" t="s">
        <v>3985</v>
      </c>
      <c r="T140" s="445" t="str">
        <f>VLOOKUP(Q140,kombinace_1!DT:DU,2,0)</f>
        <v>Lacobel RAL 0128</v>
      </c>
    </row>
    <row r="141" spans="1:20">
      <c r="A141" s="612"/>
      <c r="B141" s="504" t="str">
        <f t="shared" si="9"/>
        <v>Lacobel RAL 0327 - maximální rozměr 2550 x 1605 mm</v>
      </c>
      <c r="C141" s="608">
        <f t="shared" si="11"/>
        <v>2208.96</v>
      </c>
      <c r="D141" s="608">
        <f t="shared" si="11"/>
        <v>0</v>
      </c>
      <c r="E141" s="608">
        <v>2208.96</v>
      </c>
      <c r="F141" s="608"/>
      <c r="G141" s="608">
        <v>76.402877697841717</v>
      </c>
      <c r="H141" s="608"/>
      <c r="I141" s="608">
        <v>345.59999999999997</v>
      </c>
      <c r="J141" s="608"/>
      <c r="K141" s="608">
        <v>31369.846153846152</v>
      </c>
      <c r="L141" s="608"/>
      <c r="M141" s="532" t="s">
        <v>3986</v>
      </c>
      <c r="N141" s="532" t="s">
        <v>3987</v>
      </c>
      <c r="O141" s="531" t="s">
        <v>3988</v>
      </c>
      <c r="P141" s="532" t="s">
        <v>3989</v>
      </c>
      <c r="Q141" s="445" t="s">
        <v>3990</v>
      </c>
      <c r="T141" s="445" t="str">
        <f>VLOOKUP(Q141,kombinace_1!DT:DU,2,0)</f>
        <v>Lacobel RAL 0327</v>
      </c>
    </row>
    <row r="142" spans="1:20">
      <c r="A142" s="612"/>
      <c r="B142" s="504"/>
      <c r="C142" s="608">
        <f t="shared" si="11"/>
        <v>2208.96</v>
      </c>
      <c r="D142" s="608">
        <f t="shared" si="11"/>
        <v>0</v>
      </c>
      <c r="E142" s="608">
        <v>2208.96</v>
      </c>
      <c r="F142" s="608"/>
      <c r="G142" s="608">
        <v>76.402877697841717</v>
      </c>
      <c r="H142" s="608"/>
      <c r="I142" s="608">
        <v>345.59999999999997</v>
      </c>
      <c r="J142" s="608"/>
      <c r="K142" s="608">
        <v>31369.846153846152</v>
      </c>
      <c r="L142" s="608"/>
      <c r="M142" s="532" t="s">
        <v>57</v>
      </c>
      <c r="N142" s="532" t="s">
        <v>57</v>
      </c>
      <c r="O142" s="531" t="s">
        <v>57</v>
      </c>
      <c r="P142" s="532" t="s">
        <v>57</v>
      </c>
      <c r="Q142" s="445" t="s">
        <v>57</v>
      </c>
      <c r="T142" s="445" t="str">
        <f>VLOOKUP(Q142,kombinace_1!DT:DU,2,0)</f>
        <v>Lacobel REF 0337</v>
      </c>
    </row>
    <row r="143" spans="1:20">
      <c r="A143" s="612"/>
      <c r="B143" s="504"/>
      <c r="C143" s="608">
        <f t="shared" si="11"/>
        <v>2208.96</v>
      </c>
      <c r="D143" s="608">
        <f t="shared" si="11"/>
        <v>0</v>
      </c>
      <c r="E143" s="608">
        <v>2208.96</v>
      </c>
      <c r="F143" s="608"/>
      <c r="G143" s="608">
        <v>76.402877697841717</v>
      </c>
      <c r="H143" s="608"/>
      <c r="I143" s="608">
        <v>345.59999999999997</v>
      </c>
      <c r="J143" s="608"/>
      <c r="K143" s="608">
        <v>31369.846153846152</v>
      </c>
      <c r="L143" s="608"/>
      <c r="M143" s="532" t="s">
        <v>58</v>
      </c>
      <c r="N143" s="532" t="s">
        <v>58</v>
      </c>
      <c r="O143" s="531" t="s">
        <v>58</v>
      </c>
      <c r="P143" s="532" t="s">
        <v>58</v>
      </c>
      <c r="Q143" s="445" t="s">
        <v>58</v>
      </c>
      <c r="T143" s="445" t="str">
        <f>VLOOKUP(Q143,kombinace_1!DT:DU,2,0)</f>
        <v>Lacobel REF 0627</v>
      </c>
    </row>
    <row r="144" spans="1:20">
      <c r="A144" s="612"/>
      <c r="B144" s="504" t="str">
        <f t="shared" si="9"/>
        <v>Lacobel RAL 0667 - maximální rozměr 2550 x 1605 mm</v>
      </c>
      <c r="C144" s="608">
        <f t="shared" si="11"/>
        <v>2208.96</v>
      </c>
      <c r="D144" s="608">
        <f t="shared" si="11"/>
        <v>0</v>
      </c>
      <c r="E144" s="608">
        <v>2208.96</v>
      </c>
      <c r="F144" s="608"/>
      <c r="G144" s="608">
        <v>76.402877697841717</v>
      </c>
      <c r="H144" s="608"/>
      <c r="I144" s="608">
        <v>345.59999999999997</v>
      </c>
      <c r="J144" s="608"/>
      <c r="K144" s="608">
        <v>31369.846153846152</v>
      </c>
      <c r="L144" s="608"/>
      <c r="M144" s="532" t="s">
        <v>3991</v>
      </c>
      <c r="N144" s="532" t="s">
        <v>3992</v>
      </c>
      <c r="O144" s="531" t="s">
        <v>3993</v>
      </c>
      <c r="P144" s="532" t="s">
        <v>3994</v>
      </c>
      <c r="Q144" s="445" t="s">
        <v>3995</v>
      </c>
      <c r="T144" s="445" t="str">
        <f>VLOOKUP(Q144,kombinace_1!DT:DU,2,0)</f>
        <v>Lacobel RAL 0667</v>
      </c>
    </row>
    <row r="145" spans="1:20">
      <c r="A145" s="612"/>
      <c r="B145" s="504" t="str">
        <f t="shared" si="9"/>
        <v>Lacobel RAL 1164 - maximální rozměr 2550 x 1605 mm</v>
      </c>
      <c r="C145" s="608">
        <f t="shared" si="11"/>
        <v>2208.96</v>
      </c>
      <c r="D145" s="608">
        <f t="shared" si="11"/>
        <v>0</v>
      </c>
      <c r="E145" s="608">
        <v>2208.96</v>
      </c>
      <c r="F145" s="608"/>
      <c r="G145" s="608">
        <v>76.402877697841717</v>
      </c>
      <c r="H145" s="608"/>
      <c r="I145" s="608">
        <v>345.59999999999997</v>
      </c>
      <c r="J145" s="608"/>
      <c r="K145" s="608">
        <v>31369.846153846152</v>
      </c>
      <c r="L145" s="608"/>
      <c r="M145" s="532" t="s">
        <v>3996</v>
      </c>
      <c r="N145" s="532" t="s">
        <v>3997</v>
      </c>
      <c r="O145" s="531" t="s">
        <v>3998</v>
      </c>
      <c r="P145" s="532" t="s">
        <v>3999</v>
      </c>
      <c r="Q145" s="445" t="s">
        <v>4000</v>
      </c>
      <c r="T145" s="445" t="str">
        <f>VLOOKUP(Q145,kombinace_1!DT:DU,2,0)</f>
        <v>Lacobel RAL 1164</v>
      </c>
    </row>
    <row r="146" spans="1:20">
      <c r="A146" s="612"/>
      <c r="B146" s="504"/>
      <c r="C146" s="608">
        <f t="shared" si="11"/>
        <v>1840.8</v>
      </c>
      <c r="D146" s="608">
        <f t="shared" si="11"/>
        <v>0</v>
      </c>
      <c r="E146" s="608">
        <v>1840.8</v>
      </c>
      <c r="F146" s="608"/>
      <c r="G146" s="608">
        <v>63.669064748201436</v>
      </c>
      <c r="H146" s="608"/>
      <c r="I146" s="608">
        <v>288</v>
      </c>
      <c r="J146" s="608"/>
      <c r="K146" s="608">
        <v>26141.538461538457</v>
      </c>
      <c r="L146" s="608"/>
      <c r="M146" s="532" t="s">
        <v>55</v>
      </c>
      <c r="N146" s="532" t="s">
        <v>55</v>
      </c>
      <c r="O146" s="531" t="s">
        <v>55</v>
      </c>
      <c r="P146" s="532" t="s">
        <v>55</v>
      </c>
      <c r="Q146" s="445" t="s">
        <v>55</v>
      </c>
      <c r="T146" s="445" t="str">
        <f>VLOOKUP(Q146,kombinace_1!DT:DU,2,0)</f>
        <v>Lacobel REF 1236</v>
      </c>
    </row>
    <row r="147" spans="1:20">
      <c r="A147" s="612"/>
      <c r="B147" s="504" t="str">
        <f t="shared" si="9"/>
        <v>Lacobel RAL 1435 - maximální rozměr 2550 x 1605 mm</v>
      </c>
      <c r="C147" s="608">
        <f t="shared" si="11"/>
        <v>2208.96</v>
      </c>
      <c r="D147" s="608">
        <f t="shared" si="11"/>
        <v>0</v>
      </c>
      <c r="E147" s="608">
        <v>2208.96</v>
      </c>
      <c r="F147" s="608"/>
      <c r="G147" s="608">
        <v>76.402877697841717</v>
      </c>
      <c r="H147" s="608"/>
      <c r="I147" s="608">
        <v>345.59999999999997</v>
      </c>
      <c r="J147" s="608"/>
      <c r="K147" s="608">
        <v>31369.846153846152</v>
      </c>
      <c r="L147" s="608"/>
      <c r="M147" s="532" t="s">
        <v>4001</v>
      </c>
      <c r="N147" s="532" t="s">
        <v>4002</v>
      </c>
      <c r="O147" s="531" t="s">
        <v>4003</v>
      </c>
      <c r="P147" s="532" t="s">
        <v>4004</v>
      </c>
      <c r="Q147" s="445" t="s">
        <v>4005</v>
      </c>
      <c r="T147" s="445" t="str">
        <f>VLOOKUP(Q147,kombinace_1!DT:DU,2,0)</f>
        <v>Lacobel RAL 1435</v>
      </c>
    </row>
    <row r="148" spans="1:20">
      <c r="A148" s="612"/>
      <c r="B148" s="504"/>
      <c r="C148" s="608">
        <f t="shared" si="11"/>
        <v>1840.8</v>
      </c>
      <c r="D148" s="608">
        <f t="shared" si="11"/>
        <v>0</v>
      </c>
      <c r="E148" s="608">
        <v>1840.8</v>
      </c>
      <c r="F148" s="608"/>
      <c r="G148" s="608">
        <v>63.669064748201436</v>
      </c>
      <c r="H148" s="608"/>
      <c r="I148" s="608">
        <v>288</v>
      </c>
      <c r="J148" s="608"/>
      <c r="K148" s="608">
        <v>26141.538461538457</v>
      </c>
      <c r="L148" s="608"/>
      <c r="M148" s="532" t="s">
        <v>67</v>
      </c>
      <c r="N148" s="532" t="s">
        <v>67</v>
      </c>
      <c r="O148" s="531" t="s">
        <v>67</v>
      </c>
      <c r="P148" s="532" t="s">
        <v>67</v>
      </c>
      <c r="Q148" s="445" t="s">
        <v>67</v>
      </c>
      <c r="T148" s="445" t="str">
        <f>VLOOKUP(Q148,kombinace_1!DT:DU,2,0)</f>
        <v>Lacobel REF 1586</v>
      </c>
    </row>
    <row r="149" spans="1:20">
      <c r="A149" s="612"/>
      <c r="B149" s="504" t="str">
        <f t="shared" si="9"/>
        <v>Lacobel RAL 1603 - maximální rozměr 2550 x 1605 mm</v>
      </c>
      <c r="C149" s="608" t="e">
        <f>IF($D$1=1,E149,IF($D$1=2,G149,IF($D$1=3,I149,IF($D$1=4,K149,0))))</f>
        <v>#N/A</v>
      </c>
      <c r="D149" s="608">
        <f>IF($D$1=1,F149,IF($D$1=2,H149,IF($D$1=3,J149,IF($D$1=4,L149,0))))</f>
        <v>0</v>
      </c>
      <c r="E149" s="608" t="e">
        <v>#N/A</v>
      </c>
      <c r="F149" s="608"/>
      <c r="G149" s="608" t="e">
        <v>#N/A</v>
      </c>
      <c r="H149" s="608"/>
      <c r="I149" s="608" t="e">
        <v>#N/A</v>
      </c>
      <c r="J149" s="608"/>
      <c r="K149" s="608" t="e">
        <v>#N/A</v>
      </c>
      <c r="L149" s="608"/>
      <c r="M149" s="532" t="s">
        <v>4006</v>
      </c>
      <c r="N149" s="532" t="s">
        <v>4007</v>
      </c>
      <c r="O149" s="531" t="s">
        <v>4008</v>
      </c>
      <c r="P149" s="532" t="s">
        <v>4009</v>
      </c>
      <c r="Q149" s="445" t="s">
        <v>4010</v>
      </c>
      <c r="T149" s="445" t="str">
        <f>VLOOKUP(Q149,kombinace_1!DT:DU,2,0)</f>
        <v>Lacobel RAL 1603</v>
      </c>
    </row>
    <row r="150" spans="1:20">
      <c r="A150" s="612"/>
      <c r="B150" s="504" t="str">
        <f t="shared" si="9"/>
        <v>Lacobel RAL 1604 - maximální rozměr 2550 x 1605 mm</v>
      </c>
      <c r="C150" s="608">
        <f t="shared" si="11"/>
        <v>2208.96</v>
      </c>
      <c r="D150" s="608">
        <f t="shared" si="11"/>
        <v>0</v>
      </c>
      <c r="E150" s="608">
        <v>2208.96</v>
      </c>
      <c r="F150" s="608"/>
      <c r="G150" s="608">
        <v>76.402877697841717</v>
      </c>
      <c r="H150" s="608"/>
      <c r="I150" s="608">
        <v>345.59999999999997</v>
      </c>
      <c r="J150" s="608"/>
      <c r="K150" s="608">
        <v>31369.846153846152</v>
      </c>
      <c r="L150" s="608"/>
      <c r="M150" s="532" t="s">
        <v>4011</v>
      </c>
      <c r="N150" s="532" t="s">
        <v>4012</v>
      </c>
      <c r="O150" s="531" t="s">
        <v>4013</v>
      </c>
      <c r="P150" s="532" t="s">
        <v>4014</v>
      </c>
      <c r="Q150" s="445" t="s">
        <v>4015</v>
      </c>
      <c r="T150" s="445" t="str">
        <f>VLOOKUP(Q150,kombinace_1!DT:DU,2,0)</f>
        <v>Lacobel RAL 1604</v>
      </c>
    </row>
    <row r="151" spans="1:20">
      <c r="A151" s="612"/>
      <c r="B151" s="504" t="str">
        <f t="shared" si="9"/>
        <v>Matelac RAL 2001 - maximální rozměr 2550 x 1605 mm</v>
      </c>
      <c r="C151" s="608">
        <f t="shared" si="11"/>
        <v>0</v>
      </c>
      <c r="D151" s="608">
        <f t="shared" si="11"/>
        <v>0</v>
      </c>
      <c r="E151" s="608">
        <v>0</v>
      </c>
      <c r="F151" s="608"/>
      <c r="G151" s="608">
        <v>0</v>
      </c>
      <c r="H151" s="608"/>
      <c r="I151" s="608">
        <v>0</v>
      </c>
      <c r="J151" s="608"/>
      <c r="K151" s="608">
        <v>0</v>
      </c>
      <c r="L151" s="608"/>
      <c r="M151" s="532" t="s">
        <v>4016</v>
      </c>
      <c r="N151" s="532" t="s">
        <v>4017</v>
      </c>
      <c r="O151" s="531" t="s">
        <v>4018</v>
      </c>
      <c r="P151" s="532" t="s">
        <v>4019</v>
      </c>
      <c r="Q151" s="445" t="s">
        <v>4020</v>
      </c>
      <c r="T151" s="445" t="str">
        <f>VLOOKUP(Q151,kombinace_1!DT:DU,2,0)</f>
        <v>Matelac RAL 2001</v>
      </c>
    </row>
    <row r="152" spans="1:20">
      <c r="A152" s="612"/>
      <c r="B152" s="504" t="str">
        <f t="shared" si="9"/>
        <v>Matelac RAL 3004 - maximální rozměr 2550 x 1605 mm</v>
      </c>
      <c r="C152" s="608">
        <f t="shared" si="11"/>
        <v>2791.88</v>
      </c>
      <c r="D152" s="608">
        <f t="shared" si="11"/>
        <v>0</v>
      </c>
      <c r="E152" s="608">
        <v>2791.88</v>
      </c>
      <c r="F152" s="608"/>
      <c r="G152" s="608">
        <v>96.564748201438846</v>
      </c>
      <c r="H152" s="608"/>
      <c r="I152" s="608">
        <v>436.8</v>
      </c>
      <c r="J152" s="608"/>
      <c r="K152" s="608">
        <v>39648</v>
      </c>
      <c r="L152" s="608"/>
      <c r="M152" s="532" t="s">
        <v>4021</v>
      </c>
      <c r="N152" s="532" t="s">
        <v>4022</v>
      </c>
      <c r="O152" s="531" t="s">
        <v>4023</v>
      </c>
      <c r="P152" s="532" t="s">
        <v>4024</v>
      </c>
      <c r="Q152" s="445" t="s">
        <v>4025</v>
      </c>
      <c r="T152" s="445" t="str">
        <f>VLOOKUP(Q152,kombinace_1!DT:DU,2,0)</f>
        <v>Matelac RAL 3004</v>
      </c>
    </row>
    <row r="153" spans="1:20">
      <c r="A153" s="612"/>
      <c r="B153" s="504" t="str">
        <f t="shared" si="9"/>
        <v>Matelac RAL 7021 - maximální rozměr 2550 x 1605 mm</v>
      </c>
      <c r="C153" s="608">
        <f t="shared" si="11"/>
        <v>0</v>
      </c>
      <c r="D153" s="608">
        <f t="shared" si="11"/>
        <v>0</v>
      </c>
      <c r="E153" s="608">
        <v>0</v>
      </c>
      <c r="F153" s="608"/>
      <c r="G153" s="608">
        <v>0</v>
      </c>
      <c r="H153" s="608"/>
      <c r="I153" s="608">
        <v>0</v>
      </c>
      <c r="J153" s="608"/>
      <c r="K153" s="608">
        <v>0</v>
      </c>
      <c r="L153" s="608"/>
      <c r="M153" s="532" t="s">
        <v>4026</v>
      </c>
      <c r="N153" s="532" t="s">
        <v>4027</v>
      </c>
      <c r="O153" s="531" t="s">
        <v>4028</v>
      </c>
      <c r="P153" s="532" t="s">
        <v>4029</v>
      </c>
      <c r="Q153" s="445" t="s">
        <v>4030</v>
      </c>
      <c r="T153" s="445" t="str">
        <f>VLOOKUP(Q153,kombinace_1!DT:DU,2,0)</f>
        <v>Matelac RAL 7021</v>
      </c>
    </row>
    <row r="154" spans="1:20">
      <c r="A154" s="612"/>
      <c r="B154" s="504" t="str">
        <f t="shared" si="9"/>
        <v>Matelac RAL 9003 - maximální rozměr 2550 x 1605 mm</v>
      </c>
      <c r="C154" s="608">
        <f t="shared" si="11"/>
        <v>3489.85</v>
      </c>
      <c r="D154" s="608">
        <f t="shared" si="11"/>
        <v>0</v>
      </c>
      <c r="E154" s="608">
        <v>3489.85</v>
      </c>
      <c r="F154" s="608"/>
      <c r="G154" s="608">
        <v>120.70593525179856</v>
      </c>
      <c r="H154" s="608"/>
      <c r="I154" s="608">
        <v>546</v>
      </c>
      <c r="J154" s="608"/>
      <c r="K154" s="608">
        <v>49560</v>
      </c>
      <c r="L154" s="608"/>
      <c r="M154" s="532" t="s">
        <v>4031</v>
      </c>
      <c r="N154" s="532" t="s">
        <v>4032</v>
      </c>
      <c r="O154" s="531" t="s">
        <v>4033</v>
      </c>
      <c r="P154" s="532" t="s">
        <v>4034</v>
      </c>
      <c r="Q154" s="445" t="s">
        <v>4035</v>
      </c>
      <c r="T154" s="445" t="str">
        <f>VLOOKUP(Q154,kombinace_1!DT:DU,2,0)</f>
        <v>Matelac RAL 9003</v>
      </c>
    </row>
    <row r="155" spans="1:20">
      <c r="A155" s="612"/>
      <c r="B155" s="504" t="str">
        <f t="shared" si="9"/>
        <v>Matelac RAL 9005 - maximální rozměr 2550 x 1605 mm</v>
      </c>
      <c r="C155" s="608">
        <f t="shared" si="11"/>
        <v>2791.88</v>
      </c>
      <c r="D155" s="608">
        <f t="shared" si="11"/>
        <v>0</v>
      </c>
      <c r="E155" s="608">
        <v>2791.88</v>
      </c>
      <c r="F155" s="608"/>
      <c r="G155" s="608">
        <v>96.564748201438846</v>
      </c>
      <c r="H155" s="608"/>
      <c r="I155" s="608">
        <v>436.8</v>
      </c>
      <c r="J155" s="608"/>
      <c r="K155" s="608">
        <v>39648</v>
      </c>
      <c r="L155" s="608"/>
      <c r="M155" s="532" t="s">
        <v>4036</v>
      </c>
      <c r="N155" s="532" t="s">
        <v>4037</v>
      </c>
      <c r="O155" s="531" t="s">
        <v>4038</v>
      </c>
      <c r="P155" s="532" t="s">
        <v>4039</v>
      </c>
      <c r="Q155" s="445" t="s">
        <v>4040</v>
      </c>
      <c r="T155" s="445" t="str">
        <f>VLOOKUP(Q155,kombinace_1!DT:DU,2,0)</f>
        <v>Matelac RAL 9005</v>
      </c>
    </row>
    <row r="156" spans="1:20">
      <c r="A156" s="612"/>
      <c r="B156" s="504" t="str">
        <f t="shared" si="9"/>
        <v>Matelac RAL 9006 - maximální rozměr 2550 x 1605 mm</v>
      </c>
      <c r="C156" s="608">
        <f t="shared" si="11"/>
        <v>3489.85</v>
      </c>
      <c r="D156" s="608">
        <f t="shared" si="11"/>
        <v>0</v>
      </c>
      <c r="E156" s="608">
        <v>3489.85</v>
      </c>
      <c r="F156" s="608"/>
      <c r="G156" s="608">
        <v>120.70593525179856</v>
      </c>
      <c r="H156" s="608"/>
      <c r="I156" s="608">
        <v>546</v>
      </c>
      <c r="J156" s="608"/>
      <c r="K156" s="608">
        <v>49560</v>
      </c>
      <c r="L156" s="608"/>
      <c r="M156" s="532" t="s">
        <v>4041</v>
      </c>
      <c r="N156" s="532" t="s">
        <v>4042</v>
      </c>
      <c r="O156" s="531" t="s">
        <v>4043</v>
      </c>
      <c r="P156" s="532" t="s">
        <v>4044</v>
      </c>
      <c r="Q156" s="445" t="s">
        <v>4045</v>
      </c>
      <c r="T156" s="445" t="str">
        <f>VLOOKUP(Q156,kombinace_1!DT:DU,2,0)</f>
        <v>Matelac RAL 9006</v>
      </c>
    </row>
    <row r="157" spans="1:20">
      <c r="A157" s="612"/>
      <c r="B157" s="504" t="str">
        <f t="shared" si="9"/>
        <v>Matelac RAL 9010 - maximální rozměr 2550 x 1605 mm</v>
      </c>
      <c r="C157" s="608">
        <f t="shared" si="11"/>
        <v>2791.88</v>
      </c>
      <c r="D157" s="608">
        <f t="shared" si="11"/>
        <v>0</v>
      </c>
      <c r="E157" s="608">
        <v>2791.88</v>
      </c>
      <c r="F157" s="608"/>
      <c r="G157" s="608">
        <v>96.564748201438846</v>
      </c>
      <c r="H157" s="608"/>
      <c r="I157" s="608">
        <v>436.8</v>
      </c>
      <c r="J157" s="608"/>
      <c r="K157" s="608">
        <v>39648</v>
      </c>
      <c r="L157" s="608"/>
      <c r="M157" s="532" t="s">
        <v>4046</v>
      </c>
      <c r="N157" s="532" t="s">
        <v>4047</v>
      </c>
      <c r="O157" s="531" t="s">
        <v>4048</v>
      </c>
      <c r="P157" s="532" t="s">
        <v>4049</v>
      </c>
      <c r="Q157" s="445" t="s">
        <v>4050</v>
      </c>
      <c r="T157" s="445" t="str">
        <f>VLOOKUP(Q157,kombinace_1!DT:DU,2,0)</f>
        <v>Matelac RAL 9010</v>
      </c>
    </row>
    <row r="158" spans="1:20">
      <c r="A158" s="612"/>
      <c r="B158" s="504" t="str">
        <f t="shared" si="9"/>
        <v>Matelac RAL 1435 - maximální rozměr 2550 x 1605 mm</v>
      </c>
      <c r="C158" s="608">
        <f t="shared" ref="C158:D163" si="12">IF($D$1=1,E158,IF($D$1=2,G158,IF($D$1=3,I158,IF($D$1=4,K158,0))))</f>
        <v>3489.85</v>
      </c>
      <c r="D158" s="608">
        <f t="shared" si="12"/>
        <v>0</v>
      </c>
      <c r="E158" s="608">
        <v>3489.85</v>
      </c>
      <c r="F158" s="608"/>
      <c r="G158" s="608">
        <v>120.70593525179856</v>
      </c>
      <c r="H158" s="608"/>
      <c r="I158" s="608">
        <v>546</v>
      </c>
      <c r="J158" s="608"/>
      <c r="K158" s="608">
        <v>49560</v>
      </c>
      <c r="L158" s="608"/>
      <c r="M158" s="532" t="s">
        <v>4051</v>
      </c>
      <c r="N158" s="532" t="s">
        <v>4052</v>
      </c>
      <c r="O158" s="531" t="s">
        <v>4053</v>
      </c>
      <c r="P158" s="532" t="s">
        <v>4054</v>
      </c>
      <c r="Q158" s="445" t="s">
        <v>4055</v>
      </c>
      <c r="T158" s="445" t="str">
        <f>VLOOKUP(Q158,kombinace_1!DT:DU,2,0)</f>
        <v>Matelac RAL 1435</v>
      </c>
    </row>
    <row r="159" spans="1:20">
      <c r="A159" s="612"/>
      <c r="B159" s="504" t="str">
        <f t="shared" si="9"/>
        <v>Matelac RAL 1586 - maximální rozměr 2550 x 1605 mm</v>
      </c>
      <c r="C159" s="608">
        <f t="shared" si="12"/>
        <v>2791.88</v>
      </c>
      <c r="D159" s="608">
        <f t="shared" si="12"/>
        <v>0</v>
      </c>
      <c r="E159" s="608">
        <v>2791.88</v>
      </c>
      <c r="F159" s="608"/>
      <c r="G159" s="608">
        <v>96.564748201438846</v>
      </c>
      <c r="H159" s="608"/>
      <c r="I159" s="608">
        <v>436.8</v>
      </c>
      <c r="J159" s="608"/>
      <c r="K159" s="608">
        <v>39648</v>
      </c>
      <c r="L159" s="608"/>
      <c r="M159" s="532" t="s">
        <v>4056</v>
      </c>
      <c r="N159" s="532" t="s">
        <v>4057</v>
      </c>
      <c r="O159" s="531" t="s">
        <v>4058</v>
      </c>
      <c r="P159" s="532" t="s">
        <v>4059</v>
      </c>
      <c r="Q159" s="445" t="s">
        <v>4060</v>
      </c>
      <c r="T159" s="445" t="str">
        <f>VLOOKUP(Q159,kombinace_1!DT:DU,2,0)</f>
        <v>Matelac RAL 1586</v>
      </c>
    </row>
    <row r="160" spans="1:20">
      <c r="A160" s="612"/>
      <c r="B160" s="504" t="str">
        <f t="shared" si="9"/>
        <v>Matelac zrcadlo bronz - maximální rozměr 2550 x 1605 mm</v>
      </c>
      <c r="C160" s="608">
        <f t="shared" si="12"/>
        <v>2931.4740000000002</v>
      </c>
      <c r="D160" s="608">
        <f t="shared" si="12"/>
        <v>0</v>
      </c>
      <c r="E160" s="608">
        <v>2931.4740000000002</v>
      </c>
      <c r="F160" s="608"/>
      <c r="G160" s="608">
        <v>101.3929856115108</v>
      </c>
      <c r="H160" s="608"/>
      <c r="I160" s="608">
        <v>458.64</v>
      </c>
      <c r="J160" s="608"/>
      <c r="K160" s="608">
        <v>41630.400000000001</v>
      </c>
      <c r="L160" s="608"/>
      <c r="M160" s="532" t="s">
        <v>4061</v>
      </c>
      <c r="N160" s="532" t="s">
        <v>4062</v>
      </c>
      <c r="O160" s="531" t="s">
        <v>4063</v>
      </c>
      <c r="P160" s="532" t="s">
        <v>4064</v>
      </c>
      <c r="Q160" s="445" t="s">
        <v>4065</v>
      </c>
      <c r="T160" s="445" t="str">
        <f>VLOOKUP(Q160,kombinace_1!DT:DU,2,0)</f>
        <v>Matelac lustro bronz</v>
      </c>
    </row>
    <row r="161" spans="1:20">
      <c r="A161" s="612"/>
      <c r="B161" s="504" t="str">
        <f t="shared" si="9"/>
        <v>Optiwhite - maximální rozměr 2550 x 1605 mm</v>
      </c>
      <c r="C161" s="608">
        <f>IF($D$1=1,E161,IF($D$1=2,G161,IF($D$1=3,I161,IF($D$1=4,K161,0))))</f>
        <v>1288.5600000000002</v>
      </c>
      <c r="D161" s="608">
        <f>IF($D$1=1,F161,IF($D$1=2,H161,IF($D$1=3,J161,IF($D$1=4,L161,0))))</f>
        <v>0</v>
      </c>
      <c r="E161" s="608">
        <v>1288.5600000000002</v>
      </c>
      <c r="F161" s="608"/>
      <c r="G161" s="608">
        <v>44.568345323741013</v>
      </c>
      <c r="H161" s="608"/>
      <c r="I161" s="608">
        <v>201.6</v>
      </c>
      <c r="J161" s="608"/>
      <c r="K161" s="608">
        <v>18299.076923076922</v>
      </c>
      <c r="L161" s="608"/>
      <c r="M161" s="533" t="s">
        <v>4066</v>
      </c>
      <c r="N161" s="533" t="s">
        <v>4067</v>
      </c>
      <c r="O161" s="533" t="s">
        <v>4068</v>
      </c>
      <c r="P161" s="533" t="s">
        <v>4069</v>
      </c>
      <c r="Q161" s="533" t="s">
        <v>4070</v>
      </c>
      <c r="T161" s="445" t="str">
        <f>VLOOKUP(Q161,kombinace_1!DT:DU,2,0)</f>
        <v>Optiwhite</v>
      </c>
    </row>
    <row r="162" spans="1:20">
      <c r="A162" s="612"/>
      <c r="B162" s="504" t="str">
        <f t="shared" si="9"/>
        <v>Matelac zrcadlo grafit - maximální rozměr 2550 x 1605 mm</v>
      </c>
      <c r="C162" s="608">
        <f t="shared" si="12"/>
        <v>2931.4740000000002</v>
      </c>
      <c r="D162" s="608">
        <f t="shared" si="12"/>
        <v>0</v>
      </c>
      <c r="E162" s="608">
        <v>2931.4740000000002</v>
      </c>
      <c r="F162" s="608"/>
      <c r="G162" s="608">
        <v>101.3929856115108</v>
      </c>
      <c r="H162" s="608"/>
      <c r="I162" s="608">
        <v>458.64</v>
      </c>
      <c r="J162" s="608"/>
      <c r="K162" s="608">
        <v>41630.400000000001</v>
      </c>
      <c r="L162" s="608"/>
      <c r="M162" s="532" t="s">
        <v>4071</v>
      </c>
      <c r="N162" s="532" t="s">
        <v>4072</v>
      </c>
      <c r="O162" s="531" t="s">
        <v>4073</v>
      </c>
      <c r="P162" s="532" t="s">
        <v>4074</v>
      </c>
      <c r="Q162" s="445" t="s">
        <v>4075</v>
      </c>
      <c r="T162" s="445" t="str">
        <f>VLOOKUP(Q162,kombinace_1!DT:DU,2,0)</f>
        <v>Matelac lustro grafit</v>
      </c>
    </row>
    <row r="163" spans="1:20">
      <c r="A163" s="612"/>
      <c r="B163" s="504" t="str">
        <f t="shared" si="9"/>
        <v>Matelac zrcadlo stříbr. - maximální rozměr 2550 x 1605 mm</v>
      </c>
      <c r="C163" s="608">
        <f t="shared" si="12"/>
        <v>3230.6039999999998</v>
      </c>
      <c r="D163" s="608">
        <f t="shared" si="12"/>
        <v>0</v>
      </c>
      <c r="E163" s="608">
        <v>3230.6039999999998</v>
      </c>
      <c r="F163" s="608"/>
      <c r="G163" s="608">
        <v>111.73920863309351</v>
      </c>
      <c r="H163" s="608"/>
      <c r="I163" s="608">
        <v>505.43999999999994</v>
      </c>
      <c r="J163" s="608"/>
      <c r="K163" s="608">
        <v>45878.400000000001</v>
      </c>
      <c r="L163" s="608"/>
      <c r="M163" s="532" t="s">
        <v>4076</v>
      </c>
      <c r="N163" s="532" t="s">
        <v>4077</v>
      </c>
      <c r="O163" s="531" t="s">
        <v>4078</v>
      </c>
      <c r="P163" s="532" t="s">
        <v>4079</v>
      </c>
      <c r="Q163" s="445" t="s">
        <v>4080</v>
      </c>
      <c r="T163" s="445" t="str">
        <f>VLOOKUP(Q163,kombinace_1!DT:DU,2,0)</f>
        <v>Matelac lustro srebrny</v>
      </c>
    </row>
    <row r="164" spans="1:20">
      <c r="A164" s="565"/>
      <c r="B164" s="504" t="str">
        <f t="shared" si="9"/>
        <v>síťka alu zlatá - maximální rozměr 1000 x 500 mm</v>
      </c>
      <c r="C164" s="608">
        <f t="shared" ref="C164:D167" si="13">IF($D$1=1,E164,IF($D$1=2,G164,IF($D$1=3,I164,IF($D$1=4,K164,0))))</f>
        <v>10738</v>
      </c>
      <c r="D164" s="608">
        <f t="shared" si="13"/>
        <v>0</v>
      </c>
      <c r="E164" s="608">
        <v>10738</v>
      </c>
      <c r="F164" s="608"/>
      <c r="G164" s="608">
        <v>371.40287769784175</v>
      </c>
      <c r="H164" s="608"/>
      <c r="I164" s="608">
        <v>1680</v>
      </c>
      <c r="J164" s="608"/>
      <c r="K164" s="608">
        <v>152492.30769230769</v>
      </c>
      <c r="L164" s="608"/>
      <c r="M164" s="507" t="s">
        <v>4081</v>
      </c>
      <c r="N164" s="550" t="s">
        <v>4082</v>
      </c>
      <c r="O164" s="549" t="s">
        <v>4083</v>
      </c>
      <c r="P164" s="318" t="s">
        <v>4084</v>
      </c>
      <c r="Q164" s="549" t="s">
        <v>4085</v>
      </c>
      <c r="T164" s="445" t="str">
        <f>VLOOKUP(Q164,kombinace_1!DT:DU,2,0)</f>
        <v>siatka alu złota</v>
      </c>
    </row>
    <row r="165" spans="1:20">
      <c r="A165" s="565"/>
      <c r="B165" s="504" t="str">
        <f>IF($D$1=1,M165,IF($D$1=2,N165,IF($D$1=3,O165,IF($D$1=4,P165,IF($D$1=5,Q165,0)))))</f>
        <v>síťka ocel černá mat - maximální rozměr 1000 x 500 mm</v>
      </c>
      <c r="C165" s="608">
        <f t="shared" si="13"/>
        <v>4314.375</v>
      </c>
      <c r="D165" s="608">
        <f t="shared" si="13"/>
        <v>0</v>
      </c>
      <c r="E165" s="608">
        <v>4314.375</v>
      </c>
      <c r="F165" s="608"/>
      <c r="G165" s="608">
        <v>149.22437050359713</v>
      </c>
      <c r="H165" s="608"/>
      <c r="I165" s="608">
        <v>675</v>
      </c>
      <c r="J165" s="608"/>
      <c r="K165" s="608">
        <v>61269.230769230766</v>
      </c>
      <c r="L165" s="608"/>
      <c r="M165" s="507" t="s">
        <v>4086</v>
      </c>
      <c r="N165" s="550" t="s">
        <v>4087</v>
      </c>
      <c r="O165" s="549" t="s">
        <v>4088</v>
      </c>
      <c r="P165" s="318" t="s">
        <v>4089</v>
      </c>
      <c r="Q165" s="549" t="s">
        <v>4090</v>
      </c>
      <c r="T165" s="445" t="str">
        <f>VLOOKUP(Q165,kombinace_1!DT:DU,2,0)</f>
        <v>siatka stalowa czarna matowa</v>
      </c>
    </row>
    <row r="166" spans="1:20">
      <c r="A166" s="565"/>
      <c r="B166" s="504" t="str">
        <f>IF($D$1=1,M166,IF($D$1=2,N166,IF($D$1=3,O166,IF($D$1=4,P166,IF($D$1=5,Q166,0)))))</f>
        <v>síťka ocel bílá - maximální rozměr 1000 x 500 mm</v>
      </c>
      <c r="C166" s="608">
        <f t="shared" si="13"/>
        <v>4314.375</v>
      </c>
      <c r="D166" s="608">
        <f t="shared" si="13"/>
        <v>0</v>
      </c>
      <c r="E166" s="608">
        <v>4314.375</v>
      </c>
      <c r="F166" s="608"/>
      <c r="G166" s="608">
        <v>149.22437050359713</v>
      </c>
      <c r="H166" s="608"/>
      <c r="I166" s="608">
        <v>675</v>
      </c>
      <c r="J166" s="608"/>
      <c r="K166" s="608">
        <v>61269.230769230766</v>
      </c>
      <c r="L166" s="608"/>
      <c r="M166" s="507" t="s">
        <v>4091</v>
      </c>
      <c r="N166" s="550" t="s">
        <v>4092</v>
      </c>
      <c r="O166" s="549" t="s">
        <v>4093</v>
      </c>
      <c r="P166" s="318" t="s">
        <v>4094</v>
      </c>
      <c r="Q166" s="549" t="s">
        <v>4095</v>
      </c>
      <c r="T166" s="445" t="str">
        <f>VLOOKUP(Q166,kombinace_1!DT:DU,2,0)</f>
        <v>siatka stalowa biała</v>
      </c>
    </row>
    <row r="167" spans="1:20">
      <c r="B167" s="504" t="str">
        <f>IF($D$1=1,M167,IF($D$1=2,N167,IF($D$1=3,O167,IF($D$1=4,P167,IF($D$1=5,Q167,0)))))</f>
        <v>síťka elox - maximální rozměr 1000 x 500 mm</v>
      </c>
      <c r="C167" s="608">
        <f t="shared" si="13"/>
        <v>10738</v>
      </c>
      <c r="D167" s="608">
        <f t="shared" si="13"/>
        <v>0</v>
      </c>
      <c r="E167" s="608">
        <v>10738</v>
      </c>
      <c r="F167" s="608"/>
      <c r="G167" s="608">
        <v>371.40287769784175</v>
      </c>
      <c r="H167" s="608"/>
      <c r="I167" s="608">
        <v>1680</v>
      </c>
      <c r="J167" s="608"/>
      <c r="K167" s="608">
        <v>152492.30769230769</v>
      </c>
      <c r="L167" s="608"/>
      <c r="M167" s="507" t="s">
        <v>4096</v>
      </c>
      <c r="N167" s="550" t="s">
        <v>4097</v>
      </c>
      <c r="O167" s="549" t="s">
        <v>4098</v>
      </c>
      <c r="P167" s="318" t="s">
        <v>4099</v>
      </c>
      <c r="Q167" s="549" t="s">
        <v>4100</v>
      </c>
      <c r="T167" s="445" t="str">
        <f>VLOOKUP(Q167,kombinace_1!DT:DU,2,0)</f>
        <v>siatka elox</v>
      </c>
    </row>
    <row r="168" spans="1:20">
      <c r="B168" s="504"/>
      <c r="G168" s="608"/>
      <c r="H168" s="608"/>
      <c r="I168" s="608"/>
      <c r="J168" s="608"/>
      <c r="K168" s="608"/>
      <c r="L168" s="608"/>
    </row>
    <row r="169" spans="1:20">
      <c r="B169" s="504" t="str">
        <f t="shared" ref="B169:B230" si="14">IF($D$1=1,M169,IF($D$1=2,N169,IF($D$1=3,O169,IF($D$1=4,P169,IF($D$1=5,Q169,0)))))</f>
        <v>Rámeček</v>
      </c>
      <c r="H169" s="445" t="s">
        <v>677</v>
      </c>
      <c r="M169" s="487" t="s">
        <v>1755</v>
      </c>
      <c r="N169" s="445" t="s">
        <v>1756</v>
      </c>
      <c r="O169" s="445" t="s">
        <v>1979</v>
      </c>
      <c r="P169" s="445" t="s">
        <v>2191</v>
      </c>
      <c r="Q169" s="445" t="s">
        <v>1978</v>
      </c>
    </row>
    <row r="170" spans="1:20">
      <c r="B170" s="504" t="str">
        <f t="shared" si="14"/>
        <v xml:space="preserve">Standardní vrtání otvoru pro misku závěsu je 3 mm od hrany. </v>
      </c>
      <c r="G170" s="445" t="s">
        <v>677</v>
      </c>
      <c r="J170" s="445" t="s">
        <v>677</v>
      </c>
      <c r="M170" s="487" t="s">
        <v>809</v>
      </c>
      <c r="N170" s="445" t="s">
        <v>853</v>
      </c>
      <c r="O170" s="445" t="s">
        <v>1669</v>
      </c>
      <c r="P170" s="445" t="s">
        <v>2369</v>
      </c>
      <c r="Q170" s="445" t="s">
        <v>2638</v>
      </c>
    </row>
    <row r="171" spans="1:20">
      <c r="B171" s="504" t="str">
        <f t="shared" si="14"/>
        <v>Uvedené ceny jsou bez DPH a nezahrnují cenu požadovaného kování!</v>
      </c>
      <c r="M171" s="487" t="s">
        <v>746</v>
      </c>
      <c r="N171" s="445" t="s">
        <v>854</v>
      </c>
      <c r="O171" s="445" t="s">
        <v>1670</v>
      </c>
      <c r="P171" s="445" t="s">
        <v>2370</v>
      </c>
      <c r="Q171" s="445" t="s">
        <v>2639</v>
      </c>
    </row>
    <row r="172" spans="1:20">
      <c r="B172" s="504" t="str">
        <f t="shared" si="14"/>
        <v>Typ profilu</v>
      </c>
      <c r="M172" s="487" t="s">
        <v>408</v>
      </c>
      <c r="N172" s="445" t="s">
        <v>408</v>
      </c>
      <c r="O172" s="445" t="s">
        <v>627</v>
      </c>
      <c r="P172" s="445" t="s">
        <v>640</v>
      </c>
      <c r="Q172" s="445" t="s">
        <v>2640</v>
      </c>
    </row>
    <row r="173" spans="1:20">
      <c r="B173" s="504" t="str">
        <f t="shared" si="14"/>
        <v>Typ úpravy skla</v>
      </c>
      <c r="M173" s="487" t="s">
        <v>3315</v>
      </c>
      <c r="N173" s="445" t="s">
        <v>3316</v>
      </c>
      <c r="O173" s="445" t="s">
        <v>26</v>
      </c>
      <c r="P173" s="445" t="s">
        <v>549</v>
      </c>
      <c r="Q173" s="445" t="s">
        <v>2520</v>
      </c>
    </row>
    <row r="174" spans="1:20">
      <c r="B174" s="504" t="str">
        <f t="shared" si="14"/>
        <v>Počet kusů</v>
      </c>
      <c r="M174" s="487" t="s">
        <v>17</v>
      </c>
      <c r="N174" s="445" t="s">
        <v>415</v>
      </c>
      <c r="O174" s="445" t="s">
        <v>27</v>
      </c>
      <c r="P174" s="445" t="s">
        <v>2371</v>
      </c>
      <c r="Q174" s="445" t="s">
        <v>1762</v>
      </c>
    </row>
    <row r="175" spans="1:20">
      <c r="B175" s="504" t="str">
        <f t="shared" si="14"/>
        <v xml:space="preserve">Šířka </v>
      </c>
      <c r="M175" s="487" t="s">
        <v>16</v>
      </c>
      <c r="N175" s="445" t="s">
        <v>416</v>
      </c>
      <c r="O175" s="445" t="s">
        <v>23</v>
      </c>
      <c r="P175" s="445" t="s">
        <v>551</v>
      </c>
      <c r="Q175" s="445" t="s">
        <v>1763</v>
      </c>
    </row>
    <row r="176" spans="1:20">
      <c r="B176" s="504" t="str">
        <f t="shared" si="14"/>
        <v>Výška</v>
      </c>
      <c r="M176" s="487" t="s">
        <v>28</v>
      </c>
      <c r="N176" s="445" t="s">
        <v>28</v>
      </c>
      <c r="O176" s="445" t="s">
        <v>24</v>
      </c>
      <c r="P176" s="445" t="s">
        <v>552</v>
      </c>
      <c r="Q176" s="445" t="s">
        <v>1764</v>
      </c>
    </row>
    <row r="177" spans="2:17">
      <c r="B177" s="504" t="str">
        <f t="shared" si="14"/>
        <v>Poznámky</v>
      </c>
      <c r="M177" s="487" t="s">
        <v>625</v>
      </c>
      <c r="N177" s="445" t="s">
        <v>625</v>
      </c>
      <c r="O177" s="445" t="s">
        <v>475</v>
      </c>
      <c r="P177" s="445" t="s">
        <v>626</v>
      </c>
      <c r="Q177" s="445" t="s">
        <v>2586</v>
      </c>
    </row>
    <row r="178" spans="2:17">
      <c r="B178" s="504" t="str">
        <f t="shared" si="14"/>
        <v>Cena rámečků celkem</v>
      </c>
      <c r="J178" s="445" t="s">
        <v>677</v>
      </c>
      <c r="M178" s="487" t="s">
        <v>30</v>
      </c>
      <c r="N178" s="445" t="s">
        <v>417</v>
      </c>
      <c r="O178" s="445" t="s">
        <v>476</v>
      </c>
      <c r="P178" s="445" t="s">
        <v>553</v>
      </c>
      <c r="Q178" s="445" t="s">
        <v>1766</v>
      </c>
    </row>
    <row r="179" spans="2:17">
      <c r="B179" s="504" t="str">
        <f t="shared" si="14"/>
        <v>Cena kování celkem</v>
      </c>
      <c r="M179" s="445" t="s">
        <v>31</v>
      </c>
      <c r="N179" s="445" t="s">
        <v>418</v>
      </c>
      <c r="O179" s="445" t="s">
        <v>477</v>
      </c>
      <c r="P179" s="445" t="s">
        <v>554</v>
      </c>
      <c r="Q179" s="445" t="s">
        <v>2641</v>
      </c>
    </row>
    <row r="180" spans="2:17">
      <c r="B180" s="504" t="str">
        <f t="shared" si="14"/>
        <v>Cena za kompletní objednávku</v>
      </c>
      <c r="M180" s="445" t="s">
        <v>94</v>
      </c>
      <c r="N180" s="445" t="s">
        <v>419</v>
      </c>
      <c r="O180" s="445" t="s">
        <v>478</v>
      </c>
      <c r="P180" s="445" t="s">
        <v>555</v>
      </c>
      <c r="Q180" s="445" t="s">
        <v>2642</v>
      </c>
    </row>
    <row r="181" spans="2:17">
      <c r="B181" s="504" t="str">
        <f t="shared" si="14"/>
        <v>Závěsy</v>
      </c>
      <c r="M181" s="487" t="s">
        <v>728</v>
      </c>
      <c r="N181" s="445" t="s">
        <v>729</v>
      </c>
      <c r="O181" s="445" t="s">
        <v>730</v>
      </c>
      <c r="P181" s="445" t="s">
        <v>731</v>
      </c>
      <c r="Q181" s="445" t="s">
        <v>2643</v>
      </c>
    </row>
    <row r="182" spans="2:17">
      <c r="B182" s="504" t="str">
        <f t="shared" si="14"/>
        <v>Aventos ostatní</v>
      </c>
      <c r="M182" s="487" t="s">
        <v>732</v>
      </c>
      <c r="N182" s="445" t="s">
        <v>733</v>
      </c>
      <c r="O182" s="445" t="s">
        <v>734</v>
      </c>
      <c r="P182" s="445" t="s">
        <v>2372</v>
      </c>
      <c r="Q182" s="445" t="s">
        <v>2644</v>
      </c>
    </row>
    <row r="183" spans="2:17">
      <c r="B183" s="504" t="str">
        <f t="shared" si="14"/>
        <v>STRONG s tlumením</v>
      </c>
      <c r="M183" s="487" t="s">
        <v>1167</v>
      </c>
      <c r="N183" s="445" t="s">
        <v>1569</v>
      </c>
      <c r="O183" s="445" t="s">
        <v>1570</v>
      </c>
      <c r="P183" s="445" t="s">
        <v>1571</v>
      </c>
      <c r="Q183" s="445" t="s">
        <v>2645</v>
      </c>
    </row>
    <row r="184" spans="2:17">
      <c r="B184" s="504" t="str">
        <f t="shared" si="14"/>
        <v>Závěsy se zvedacím pístem</v>
      </c>
      <c r="M184" s="487" t="s">
        <v>736</v>
      </c>
      <c r="N184" s="445" t="s">
        <v>737</v>
      </c>
      <c r="O184" s="445" t="s">
        <v>2457</v>
      </c>
      <c r="P184" s="445" t="s">
        <v>2373</v>
      </c>
      <c r="Q184" s="445" t="s">
        <v>2646</v>
      </c>
    </row>
    <row r="185" spans="2:17">
      <c r="B185" s="504" t="str">
        <f t="shared" si="14"/>
        <v>Horní dvířko</v>
      </c>
      <c r="M185" s="487" t="s">
        <v>98</v>
      </c>
      <c r="N185" s="445" t="s">
        <v>420</v>
      </c>
      <c r="O185" s="445" t="s">
        <v>479</v>
      </c>
      <c r="P185" s="445" t="s">
        <v>740</v>
      </c>
      <c r="Q185" s="445" t="s">
        <v>2521</v>
      </c>
    </row>
    <row r="186" spans="2:17">
      <c r="B186" s="504" t="str">
        <f t="shared" si="14"/>
        <v>Spodní dvířko</v>
      </c>
      <c r="M186" s="487" t="s">
        <v>97</v>
      </c>
      <c r="N186" s="445" t="s">
        <v>421</v>
      </c>
      <c r="O186" s="445" t="s">
        <v>480</v>
      </c>
      <c r="P186" s="445" t="s">
        <v>556</v>
      </c>
      <c r="Q186" s="445" t="s">
        <v>2522</v>
      </c>
    </row>
    <row r="187" spans="2:17">
      <c r="B187" s="504" t="str">
        <f t="shared" si="14"/>
        <v>Naložený clip</v>
      </c>
      <c r="M187" s="466" t="s">
        <v>121</v>
      </c>
      <c r="N187" s="445" t="s">
        <v>121</v>
      </c>
      <c r="O187" s="445" t="s">
        <v>481</v>
      </c>
      <c r="P187" s="445" t="s">
        <v>557</v>
      </c>
      <c r="Q187" s="445" t="s">
        <v>2647</v>
      </c>
    </row>
    <row r="188" spans="2:17">
      <c r="B188" s="504" t="str">
        <f t="shared" si="14"/>
        <v>Polonaložený clip</v>
      </c>
      <c r="M188" s="466" t="s">
        <v>122</v>
      </c>
      <c r="N188" s="445" t="s">
        <v>122</v>
      </c>
      <c r="O188" s="445" t="s">
        <v>482</v>
      </c>
      <c r="P188" s="445" t="s">
        <v>2374</v>
      </c>
      <c r="Q188" s="445" t="s">
        <v>2648</v>
      </c>
    </row>
    <row r="189" spans="2:17">
      <c r="B189" s="504" t="str">
        <f t="shared" si="14"/>
        <v>Vložený clip</v>
      </c>
      <c r="M189" s="466" t="s">
        <v>123</v>
      </c>
      <c r="N189" s="445" t="s">
        <v>123</v>
      </c>
      <c r="O189" s="445" t="s">
        <v>483</v>
      </c>
      <c r="P189" s="445" t="s">
        <v>2375</v>
      </c>
      <c r="Q189" s="445" t="s">
        <v>2649</v>
      </c>
    </row>
    <row r="190" spans="2:17">
      <c r="B190" s="504" t="str">
        <f t="shared" si="14"/>
        <v>Úhel 45°</v>
      </c>
      <c r="M190" s="466" t="s">
        <v>124</v>
      </c>
      <c r="N190" s="445" t="s">
        <v>422</v>
      </c>
      <c r="O190" s="445" t="s">
        <v>484</v>
      </c>
      <c r="P190" s="445" t="s">
        <v>560</v>
      </c>
      <c r="Q190" s="445" t="s">
        <v>2523</v>
      </c>
    </row>
    <row r="191" spans="2:17">
      <c r="B191" s="504" t="str">
        <f t="shared" si="14"/>
        <v>Naložený</v>
      </c>
      <c r="M191" s="445" t="s">
        <v>125</v>
      </c>
      <c r="N191" s="445" t="s">
        <v>423</v>
      </c>
      <c r="O191" s="445" t="s">
        <v>485</v>
      </c>
      <c r="P191" s="445" t="s">
        <v>561</v>
      </c>
      <c r="Q191" s="445" t="s">
        <v>2800</v>
      </c>
    </row>
    <row r="192" spans="2:17">
      <c r="B192" s="504" t="str">
        <f t="shared" si="14"/>
        <v>Polonaložený</v>
      </c>
      <c r="M192" s="445" t="s">
        <v>126</v>
      </c>
      <c r="N192" s="445" t="s">
        <v>424</v>
      </c>
      <c r="O192" s="445" t="s">
        <v>486</v>
      </c>
      <c r="P192" s="445" t="s">
        <v>2376</v>
      </c>
      <c r="Q192" s="445" t="s">
        <v>2651</v>
      </c>
    </row>
    <row r="193" spans="2:17">
      <c r="B193" s="504" t="str">
        <f t="shared" si="14"/>
        <v>Vložený</v>
      </c>
      <c r="M193" s="445" t="s">
        <v>127</v>
      </c>
      <c r="N193" s="445" t="s">
        <v>425</v>
      </c>
      <c r="O193" s="445" t="s">
        <v>487</v>
      </c>
      <c r="P193" s="445" t="s">
        <v>2377</v>
      </c>
      <c r="Q193" s="445" t="s">
        <v>1781</v>
      </c>
    </row>
    <row r="194" spans="2:17">
      <c r="B194" s="504" t="str">
        <f t="shared" si="14"/>
        <v>Úhel 45°</v>
      </c>
      <c r="M194" s="445" t="s">
        <v>124</v>
      </c>
      <c r="N194" s="445" t="s">
        <v>422</v>
      </c>
      <c r="O194" s="445" t="s">
        <v>484</v>
      </c>
      <c r="P194" s="445" t="s">
        <v>560</v>
      </c>
      <c r="Q194" s="445" t="s">
        <v>2523</v>
      </c>
    </row>
    <row r="195" spans="2:17">
      <c r="B195" s="504" t="str">
        <f t="shared" si="14"/>
        <v>Naložený s opačnou pružinou</v>
      </c>
      <c r="M195" s="445" t="s">
        <v>128</v>
      </c>
      <c r="N195" s="445" t="s">
        <v>128</v>
      </c>
      <c r="O195" s="445" t="s">
        <v>488</v>
      </c>
      <c r="P195" s="445" t="s">
        <v>564</v>
      </c>
      <c r="Q195" s="445" t="s">
        <v>2652</v>
      </c>
    </row>
    <row r="196" spans="2:17">
      <c r="B196" s="504" t="str">
        <f t="shared" si="14"/>
        <v>Vložený s opačnou pružinou</v>
      </c>
      <c r="M196" s="445" t="s">
        <v>129</v>
      </c>
      <c r="N196" s="445" t="s">
        <v>129</v>
      </c>
      <c r="O196" s="445" t="s">
        <v>489</v>
      </c>
      <c r="P196" s="445" t="s">
        <v>2378</v>
      </c>
      <c r="Q196" s="445" t="s">
        <v>2653</v>
      </c>
    </row>
    <row r="197" spans="2:17">
      <c r="B197" s="504" t="str">
        <f t="shared" si="14"/>
        <v>Clip na vrut H2</v>
      </c>
      <c r="M197" s="487" t="s">
        <v>212</v>
      </c>
      <c r="N197" s="445" t="s">
        <v>426</v>
      </c>
      <c r="O197" s="445" t="s">
        <v>490</v>
      </c>
      <c r="P197" s="445" t="s">
        <v>566</v>
      </c>
      <c r="Q197" s="445" t="s">
        <v>2654</v>
      </c>
    </row>
    <row r="198" spans="2:17">
      <c r="B198" s="504" t="str">
        <f t="shared" si="14"/>
        <v>Clip na vrut H4</v>
      </c>
      <c r="M198" s="487" t="s">
        <v>213</v>
      </c>
      <c r="N198" s="445" t="s">
        <v>427</v>
      </c>
      <c r="O198" s="445" t="s">
        <v>491</v>
      </c>
      <c r="P198" s="445" t="s">
        <v>567</v>
      </c>
      <c r="Q198" s="445" t="s">
        <v>2655</v>
      </c>
    </row>
    <row r="199" spans="2:17">
      <c r="B199" s="504" t="str">
        <f t="shared" si="14"/>
        <v>Clip na eurošroub H2</v>
      </c>
      <c r="M199" s="487" t="s">
        <v>214</v>
      </c>
      <c r="N199" s="445" t="s">
        <v>428</v>
      </c>
      <c r="O199" s="445" t="s">
        <v>492</v>
      </c>
      <c r="P199" s="445" t="s">
        <v>568</v>
      </c>
      <c r="Q199" s="445" t="s">
        <v>2656</v>
      </c>
    </row>
    <row r="200" spans="2:17">
      <c r="B200" s="504" t="str">
        <f t="shared" si="14"/>
        <v>Clip na eurošroub H4</v>
      </c>
      <c r="M200" s="487" t="s">
        <v>215</v>
      </c>
      <c r="N200" s="445" t="s">
        <v>429</v>
      </c>
      <c r="O200" s="445" t="s">
        <v>493</v>
      </c>
      <c r="P200" s="445" t="s">
        <v>569</v>
      </c>
      <c r="Q200" s="445" t="s">
        <v>2657</v>
      </c>
    </row>
    <row r="201" spans="2:17">
      <c r="B201" s="504" t="str">
        <f t="shared" si="14"/>
        <v>Slide on na vrut H2</v>
      </c>
      <c r="M201" s="487" t="s">
        <v>216</v>
      </c>
      <c r="N201" s="445" t="s">
        <v>430</v>
      </c>
      <c r="O201" s="445" t="s">
        <v>494</v>
      </c>
      <c r="P201" s="445" t="s">
        <v>570</v>
      </c>
      <c r="Q201" s="445" t="s">
        <v>2658</v>
      </c>
    </row>
    <row r="202" spans="2:17">
      <c r="B202" s="504" t="str">
        <f t="shared" si="14"/>
        <v>Slide on na vrut H4</v>
      </c>
      <c r="M202" s="487" t="s">
        <v>217</v>
      </c>
      <c r="N202" s="445" t="s">
        <v>431</v>
      </c>
      <c r="O202" s="445" t="s">
        <v>495</v>
      </c>
      <c r="P202" s="445" t="s">
        <v>571</v>
      </c>
      <c r="Q202" s="445" t="s">
        <v>2659</v>
      </c>
    </row>
    <row r="203" spans="2:17">
      <c r="B203" s="504" t="str">
        <f t="shared" si="14"/>
        <v>Slide on na eurošroub H2</v>
      </c>
      <c r="M203" s="487" t="s">
        <v>218</v>
      </c>
      <c r="N203" s="445" t="s">
        <v>432</v>
      </c>
      <c r="O203" s="445" t="s">
        <v>496</v>
      </c>
      <c r="P203" s="445" t="s">
        <v>572</v>
      </c>
      <c r="Q203" s="445" t="s">
        <v>2660</v>
      </c>
    </row>
    <row r="204" spans="2:17">
      <c r="B204" s="504" t="str">
        <f t="shared" si="14"/>
        <v>Slide on na eurošroub H4</v>
      </c>
      <c r="M204" s="487" t="s">
        <v>219</v>
      </c>
      <c r="N204" s="445" t="s">
        <v>433</v>
      </c>
      <c r="O204" s="445" t="s">
        <v>497</v>
      </c>
      <c r="P204" s="445" t="s">
        <v>573</v>
      </c>
      <c r="Q204" s="445" t="s">
        <v>2661</v>
      </c>
    </row>
    <row r="205" spans="2:17">
      <c r="B205" s="504" t="str">
        <f t="shared" si="14"/>
        <v>Naložený pro Blumotion</v>
      </c>
      <c r="M205" s="487" t="s">
        <v>203</v>
      </c>
      <c r="N205" s="445" t="s">
        <v>434</v>
      </c>
      <c r="O205" s="445" t="s">
        <v>498</v>
      </c>
      <c r="P205" s="445" t="s">
        <v>574</v>
      </c>
      <c r="Q205" s="445" t="s">
        <v>2662</v>
      </c>
    </row>
    <row r="206" spans="2:17">
      <c r="B206" s="504" t="str">
        <f t="shared" si="14"/>
        <v>Polonaložený s integr. Blumotionem</v>
      </c>
      <c r="M206" s="487" t="s">
        <v>807</v>
      </c>
      <c r="N206" s="445" t="s">
        <v>855</v>
      </c>
      <c r="O206" s="445" t="s">
        <v>2458</v>
      </c>
      <c r="P206" s="445" t="s">
        <v>869</v>
      </c>
      <c r="Q206" s="445" t="s">
        <v>2663</v>
      </c>
    </row>
    <row r="207" spans="2:17">
      <c r="B207" s="504" t="str">
        <f t="shared" si="14"/>
        <v>Vložený s integr. Blumotionem</v>
      </c>
      <c r="M207" s="487" t="s">
        <v>808</v>
      </c>
      <c r="N207" s="445" t="s">
        <v>856</v>
      </c>
      <c r="O207" s="445" t="s">
        <v>2459</v>
      </c>
      <c r="P207" s="445" t="s">
        <v>2379</v>
      </c>
      <c r="Q207" s="445" t="s">
        <v>2664</v>
      </c>
    </row>
    <row r="208" spans="2:17">
      <c r="B208" s="504" t="str">
        <f t="shared" si="14"/>
        <v>45° clip naložený</v>
      </c>
      <c r="M208" s="445" t="s">
        <v>205</v>
      </c>
      <c r="N208" s="445" t="s">
        <v>435</v>
      </c>
      <c r="O208" s="445" t="s">
        <v>499</v>
      </c>
      <c r="P208" s="445" t="s">
        <v>575</v>
      </c>
      <c r="Q208" s="445" t="s">
        <v>2665</v>
      </c>
    </row>
    <row r="209" spans="2:17">
      <c r="B209" s="504" t="str">
        <f t="shared" si="14"/>
        <v>45° clip polonaložený</v>
      </c>
      <c r="M209" s="445" t="s">
        <v>204</v>
      </c>
      <c r="N209" s="445" t="s">
        <v>204</v>
      </c>
      <c r="O209" s="445" t="s">
        <v>500</v>
      </c>
      <c r="P209" s="445" t="s">
        <v>2380</v>
      </c>
      <c r="Q209" s="445" t="s">
        <v>2666</v>
      </c>
    </row>
    <row r="210" spans="2:17">
      <c r="B210" s="504" t="str">
        <f t="shared" si="14"/>
        <v>Naložený bez pružiny</v>
      </c>
      <c r="M210" s="445" t="s">
        <v>130</v>
      </c>
      <c r="N210" s="445" t="s">
        <v>130</v>
      </c>
      <c r="O210" s="445" t="s">
        <v>501</v>
      </c>
      <c r="P210" s="445" t="s">
        <v>577</v>
      </c>
      <c r="Q210" s="445" t="s">
        <v>2667</v>
      </c>
    </row>
    <row r="211" spans="2:17">
      <c r="B211" s="504" t="str">
        <f t="shared" si="14"/>
        <v>Naložený bez pružiny (TIP-ON)</v>
      </c>
      <c r="M211" s="445" t="s">
        <v>206</v>
      </c>
      <c r="N211" s="445" t="s">
        <v>436</v>
      </c>
      <c r="O211" s="445" t="s">
        <v>502</v>
      </c>
      <c r="P211" s="445" t="s">
        <v>578</v>
      </c>
      <c r="Q211" s="445" t="s">
        <v>2668</v>
      </c>
    </row>
    <row r="212" spans="2:17">
      <c r="B212" s="504" t="str">
        <f t="shared" si="14"/>
        <v>Clip na eurošroub</v>
      </c>
      <c r="M212" s="445" t="s">
        <v>208</v>
      </c>
      <c r="N212" s="445" t="s">
        <v>437</v>
      </c>
      <c r="O212" s="445" t="s">
        <v>503</v>
      </c>
      <c r="P212" s="445" t="s">
        <v>579</v>
      </c>
      <c r="Q212" s="445" t="s">
        <v>2669</v>
      </c>
    </row>
    <row r="213" spans="2:17">
      <c r="B213" s="504" t="str">
        <f t="shared" si="14"/>
        <v>Clip na vrut</v>
      </c>
      <c r="M213" s="445" t="s">
        <v>207</v>
      </c>
      <c r="N213" s="445" t="s">
        <v>438</v>
      </c>
      <c r="O213" s="445" t="s">
        <v>504</v>
      </c>
      <c r="P213" s="445" t="s">
        <v>580</v>
      </c>
      <c r="Q213" s="445" t="s">
        <v>2670</v>
      </c>
    </row>
    <row r="214" spans="2:17">
      <c r="B214" s="504" t="str">
        <f t="shared" si="14"/>
        <v xml:space="preserve">Zvýšená o 6 mm </v>
      </c>
      <c r="M214" s="445" t="s">
        <v>209</v>
      </c>
      <c r="N214" s="445" t="s">
        <v>439</v>
      </c>
      <c r="O214" s="445" t="s">
        <v>2460</v>
      </c>
      <c r="P214" s="445" t="s">
        <v>581</v>
      </c>
      <c r="Q214" s="445" t="s">
        <v>1801</v>
      </c>
    </row>
    <row r="215" spans="2:17">
      <c r="B215" s="504" t="str">
        <f t="shared" si="14"/>
        <v>45° clip</v>
      </c>
      <c r="M215" s="445" t="s">
        <v>10</v>
      </c>
      <c r="N215" s="445" t="s">
        <v>440</v>
      </c>
      <c r="O215" s="445" t="s">
        <v>10</v>
      </c>
      <c r="P215" s="445" t="s">
        <v>2381</v>
      </c>
      <c r="Q215" s="445" t="s">
        <v>2671</v>
      </c>
    </row>
    <row r="216" spans="2:17">
      <c r="B216" s="504" t="str">
        <f t="shared" si="14"/>
        <v xml:space="preserve">Clip na eurošroub H0 </v>
      </c>
      <c r="M216" s="445" t="s">
        <v>211</v>
      </c>
      <c r="N216" s="445" t="s">
        <v>441</v>
      </c>
      <c r="O216" s="445" t="s">
        <v>506</v>
      </c>
      <c r="P216" s="445" t="s">
        <v>582</v>
      </c>
      <c r="Q216" s="445" t="s">
        <v>2672</v>
      </c>
    </row>
    <row r="217" spans="2:17">
      <c r="B217" s="504" t="str">
        <f t="shared" si="14"/>
        <v>Clip na vrut H0</v>
      </c>
      <c r="M217" s="445" t="s">
        <v>210</v>
      </c>
      <c r="N217" s="445" t="s">
        <v>442</v>
      </c>
      <c r="O217" s="445" t="s">
        <v>507</v>
      </c>
      <c r="P217" s="445" t="s">
        <v>583</v>
      </c>
      <c r="Q217" s="445" t="s">
        <v>2673</v>
      </c>
    </row>
    <row r="218" spans="2:17">
      <c r="B218" s="504" t="str">
        <f t="shared" si="14"/>
        <v>Výběr pozice rámečku</v>
      </c>
      <c r="M218" s="445" t="s">
        <v>244</v>
      </c>
      <c r="N218" s="445" t="s">
        <v>443</v>
      </c>
      <c r="O218" s="445" t="s">
        <v>2461</v>
      </c>
      <c r="P218" s="445" t="s">
        <v>584</v>
      </c>
      <c r="Q218" s="445" t="s">
        <v>2524</v>
      </c>
    </row>
    <row r="219" spans="2:17">
      <c r="B219" s="504" t="str">
        <f t="shared" si="14"/>
        <v>Výrobce závěsů</v>
      </c>
      <c r="M219" s="445" t="s">
        <v>222</v>
      </c>
      <c r="N219" s="445" t="s">
        <v>444</v>
      </c>
      <c r="O219" s="445" t="s">
        <v>509</v>
      </c>
      <c r="P219" s="445" t="s">
        <v>585</v>
      </c>
      <c r="Q219" s="445" t="s">
        <v>2525</v>
      </c>
    </row>
    <row r="220" spans="2:17">
      <c r="B220" s="504" t="str">
        <f t="shared" si="14"/>
        <v>Typ závěsů</v>
      </c>
      <c r="M220" s="445" t="s">
        <v>223</v>
      </c>
      <c r="N220" s="445" t="s">
        <v>445</v>
      </c>
      <c r="O220" s="445" t="s">
        <v>510</v>
      </c>
      <c r="P220" s="445" t="s">
        <v>586</v>
      </c>
      <c r="Q220" s="445" t="s">
        <v>2674</v>
      </c>
    </row>
    <row r="221" spans="2:17">
      <c r="B221" s="504" t="str">
        <f t="shared" si="14"/>
        <v>Typ Aventosu</v>
      </c>
      <c r="M221" s="487" t="s">
        <v>224</v>
      </c>
      <c r="N221" s="445" t="s">
        <v>224</v>
      </c>
      <c r="O221" s="445" t="s">
        <v>511</v>
      </c>
      <c r="P221" s="445" t="s">
        <v>2382</v>
      </c>
      <c r="Q221" s="445" t="s">
        <v>2675</v>
      </c>
    </row>
    <row r="222" spans="2:17">
      <c r="B222" s="504" t="str">
        <f t="shared" si="14"/>
        <v>Typ podložky</v>
      </c>
      <c r="M222" s="487" t="s">
        <v>225</v>
      </c>
      <c r="N222" s="445" t="s">
        <v>225</v>
      </c>
      <c r="O222" s="445" t="s">
        <v>512</v>
      </c>
      <c r="P222" s="445" t="s">
        <v>588</v>
      </c>
      <c r="Q222" s="445" t="s">
        <v>2676</v>
      </c>
    </row>
    <row r="223" spans="2:17">
      <c r="B223" s="504" t="str">
        <f t="shared" si="14"/>
        <v>Počet závěsů na 1 rámeček</v>
      </c>
      <c r="M223" s="487" t="s">
        <v>3678</v>
      </c>
      <c r="N223" s="445" t="s">
        <v>446</v>
      </c>
      <c r="O223" s="445" t="s">
        <v>513</v>
      </c>
      <c r="P223" s="445" t="s">
        <v>589</v>
      </c>
      <c r="Q223" s="445" t="s">
        <v>2526</v>
      </c>
    </row>
    <row r="224" spans="2:17">
      <c r="B224" s="504" t="str">
        <f t="shared" si="14"/>
        <v>Zvedací písty</v>
      </c>
      <c r="M224" s="487" t="s">
        <v>239</v>
      </c>
      <c r="N224" s="445" t="s">
        <v>447</v>
      </c>
      <c r="O224" s="445" t="s">
        <v>514</v>
      </c>
      <c r="P224" s="445" t="s">
        <v>2383</v>
      </c>
      <c r="Q224" s="445" t="s">
        <v>2677</v>
      </c>
    </row>
    <row r="225" spans="2:17">
      <c r="B225" s="504" t="str">
        <f t="shared" si="14"/>
        <v>Dodat včetně uvedeného kování</v>
      </c>
      <c r="M225" s="487" t="s">
        <v>228</v>
      </c>
      <c r="N225" s="445" t="s">
        <v>448</v>
      </c>
      <c r="O225" s="445" t="s">
        <v>548</v>
      </c>
      <c r="P225" s="445" t="s">
        <v>2384</v>
      </c>
      <c r="Q225" s="445" t="s">
        <v>2527</v>
      </c>
    </row>
    <row r="226" spans="2:17">
      <c r="B226" s="504" t="str">
        <f t="shared" si="14"/>
        <v>Umístění</v>
      </c>
      <c r="M226" s="487" t="s">
        <v>3376</v>
      </c>
      <c r="N226" s="445" t="s">
        <v>3377</v>
      </c>
      <c r="O226" s="445" t="s">
        <v>3378</v>
      </c>
      <c r="P226" s="445" t="s">
        <v>3380</v>
      </c>
      <c r="Q226" s="445" t="s">
        <v>3379</v>
      </c>
    </row>
    <row r="227" spans="2:17">
      <c r="B227" s="504" t="str">
        <f t="shared" si="14"/>
        <v>Nahoře</v>
      </c>
      <c r="M227" s="487" t="s">
        <v>251</v>
      </c>
      <c r="N227" s="445" t="s">
        <v>2212</v>
      </c>
      <c r="O227" s="445" t="s">
        <v>2210</v>
      </c>
      <c r="P227" s="445" t="s">
        <v>2211</v>
      </c>
      <c r="Q227" s="445" t="s">
        <v>2528</v>
      </c>
    </row>
    <row r="228" spans="2:17">
      <c r="B228" s="504" t="str">
        <f t="shared" si="14"/>
        <v>Dole</v>
      </c>
      <c r="M228" s="487" t="s">
        <v>252</v>
      </c>
      <c r="N228" s="445" t="s">
        <v>252</v>
      </c>
      <c r="O228" s="445" t="s">
        <v>2462</v>
      </c>
      <c r="P228" s="445" t="s">
        <v>2213</v>
      </c>
      <c r="Q228" s="445" t="s">
        <v>1855</v>
      </c>
    </row>
    <row r="229" spans="2:17">
      <c r="B229" s="504" t="str">
        <f t="shared" si="14"/>
        <v xml:space="preserve">Vpravo </v>
      </c>
      <c r="M229" s="487" t="s">
        <v>242</v>
      </c>
      <c r="N229" s="445" t="s">
        <v>450</v>
      </c>
      <c r="O229" s="445" t="s">
        <v>516</v>
      </c>
      <c r="P229" s="445" t="s">
        <v>593</v>
      </c>
      <c r="Q229" s="445" t="s">
        <v>1814</v>
      </c>
    </row>
    <row r="230" spans="2:17">
      <c r="B230" s="504" t="str">
        <f t="shared" si="14"/>
        <v>Vlevo</v>
      </c>
      <c r="M230" s="487" t="s">
        <v>241</v>
      </c>
      <c r="N230" s="445" t="s">
        <v>451</v>
      </c>
      <c r="O230" s="445" t="s">
        <v>517</v>
      </c>
      <c r="P230" s="445" t="s">
        <v>594</v>
      </c>
      <c r="Q230" s="445" t="s">
        <v>1815</v>
      </c>
    </row>
    <row r="231" spans="2:17">
      <c r="B231" s="504" t="str">
        <f t="shared" ref="B231:B294" si="15">IF($D$1=1,M231,IF($D$1=2,N231,IF($D$1=3,O231,IF($D$1=4,P231,IF($D$1=5,Q231,0)))))</f>
        <v>2 Kusy (obě strany)</v>
      </c>
      <c r="M231" s="487" t="s">
        <v>243</v>
      </c>
      <c r="N231" s="445" t="s">
        <v>452</v>
      </c>
      <c r="O231" s="445" t="s">
        <v>518</v>
      </c>
      <c r="P231" s="445" t="s">
        <v>595</v>
      </c>
      <c r="Q231" s="445" t="s">
        <v>1816</v>
      </c>
    </row>
    <row r="232" spans="2:17">
      <c r="B232" s="504" t="str">
        <f t="shared" si="15"/>
        <v>Provedení druhého dvířka</v>
      </c>
      <c r="M232" s="487" t="s">
        <v>372</v>
      </c>
      <c r="N232" s="445" t="s">
        <v>453</v>
      </c>
      <c r="O232" s="445" t="s">
        <v>547</v>
      </c>
      <c r="P232" s="445" t="s">
        <v>2385</v>
      </c>
      <c r="Q232" s="445" t="s">
        <v>2678</v>
      </c>
    </row>
    <row r="233" spans="2:17">
      <c r="B233" s="504" t="str">
        <f t="shared" si="15"/>
        <v>Úzký ALU rámeček</v>
      </c>
      <c r="M233" s="487" t="s">
        <v>245</v>
      </c>
      <c r="N233" s="445" t="s">
        <v>454</v>
      </c>
      <c r="O233" s="445" t="s">
        <v>519</v>
      </c>
      <c r="P233" s="445" t="s">
        <v>597</v>
      </c>
      <c r="Q233" s="445" t="s">
        <v>2529</v>
      </c>
    </row>
    <row r="234" spans="2:17">
      <c r="B234" s="504" t="str">
        <f t="shared" si="15"/>
        <v>Široký ALU rámeček</v>
      </c>
      <c r="M234" s="487" t="s">
        <v>246</v>
      </c>
      <c r="N234" s="445" t="s">
        <v>455</v>
      </c>
      <c r="O234" s="445" t="s">
        <v>520</v>
      </c>
      <c r="P234" s="445" t="s">
        <v>598</v>
      </c>
      <c r="Q234" s="445" t="s">
        <v>2530</v>
      </c>
    </row>
    <row r="235" spans="2:17">
      <c r="B235" s="504" t="str">
        <f t="shared" si="15"/>
        <v>MDF tloušťky 16 mm</v>
      </c>
      <c r="M235" s="487" t="s">
        <v>248</v>
      </c>
      <c r="N235" s="445" t="s">
        <v>456</v>
      </c>
      <c r="O235" s="445" t="s">
        <v>521</v>
      </c>
      <c r="P235" s="445" t="s">
        <v>599</v>
      </c>
      <c r="Q235" s="445" t="s">
        <v>2679</v>
      </c>
    </row>
    <row r="236" spans="2:17">
      <c r="B236" s="504" t="str">
        <f t="shared" si="15"/>
        <v>MDF tloušťky 18 mm</v>
      </c>
      <c r="M236" s="487" t="s">
        <v>247</v>
      </c>
      <c r="N236" s="445" t="s">
        <v>457</v>
      </c>
      <c r="O236" s="445" t="s">
        <v>522</v>
      </c>
      <c r="P236" s="445" t="s">
        <v>600</v>
      </c>
      <c r="Q236" s="445" t="s">
        <v>2680</v>
      </c>
    </row>
    <row r="237" spans="2:17">
      <c r="B237" s="504" t="str">
        <f t="shared" si="15"/>
        <v>DTDL tloušťky 18 mm</v>
      </c>
      <c r="M237" s="487" t="s">
        <v>249</v>
      </c>
      <c r="N237" s="445" t="s">
        <v>458</v>
      </c>
      <c r="O237" s="445" t="s">
        <v>2463</v>
      </c>
      <c r="P237" s="445" t="s">
        <v>2386</v>
      </c>
      <c r="Q237" s="445" t="s">
        <v>2019</v>
      </c>
    </row>
    <row r="238" spans="2:17">
      <c r="B238" s="504" t="str">
        <f t="shared" si="15"/>
        <v>Umístění závěsů</v>
      </c>
      <c r="M238" s="487" t="s">
        <v>250</v>
      </c>
      <c r="N238" s="445" t="s">
        <v>459</v>
      </c>
      <c r="O238" s="445" t="s">
        <v>524</v>
      </c>
      <c r="P238" s="445" t="s">
        <v>602</v>
      </c>
      <c r="Q238" s="445" t="s">
        <v>2531</v>
      </c>
    </row>
    <row r="239" spans="2:17">
      <c r="B239" s="504" t="str">
        <f t="shared" si="15"/>
        <v>Nahoře</v>
      </c>
      <c r="M239" s="487" t="s">
        <v>251</v>
      </c>
      <c r="N239" s="445" t="s">
        <v>460</v>
      </c>
      <c r="O239" s="445" t="s">
        <v>2210</v>
      </c>
      <c r="P239" s="445" t="s">
        <v>2211</v>
      </c>
      <c r="Q239" s="445" t="s">
        <v>2528</v>
      </c>
    </row>
    <row r="240" spans="2:17">
      <c r="B240" s="504" t="str">
        <f t="shared" si="15"/>
        <v>Dole</v>
      </c>
      <c r="M240" s="487" t="s">
        <v>252</v>
      </c>
      <c r="N240" s="445" t="s">
        <v>252</v>
      </c>
      <c r="O240" s="445" t="s">
        <v>2462</v>
      </c>
      <c r="P240" s="445" t="s">
        <v>2213</v>
      </c>
      <c r="Q240" s="445" t="s">
        <v>1855</v>
      </c>
    </row>
    <row r="241" spans="2:17">
      <c r="B241" s="504" t="str">
        <f t="shared" si="15"/>
        <v>Vyberte ze seznamu</v>
      </c>
      <c r="M241" s="487" t="s">
        <v>258</v>
      </c>
      <c r="N241" s="445" t="s">
        <v>461</v>
      </c>
      <c r="O241" s="445" t="s">
        <v>527</v>
      </c>
      <c r="P241" s="445" t="s">
        <v>605</v>
      </c>
      <c r="Q241" s="445" t="s">
        <v>2532</v>
      </c>
    </row>
    <row r="242" spans="2:17">
      <c r="B242" s="504" t="str">
        <f t="shared" si="15"/>
        <v>Vzdálenost od okraje</v>
      </c>
      <c r="M242" s="487" t="s">
        <v>3467</v>
      </c>
      <c r="N242" s="445" t="s">
        <v>3468</v>
      </c>
      <c r="O242" s="445" t="s">
        <v>2214</v>
      </c>
      <c r="P242" s="445" t="s">
        <v>2215</v>
      </c>
      <c r="Q242" s="445" t="s">
        <v>2533</v>
      </c>
    </row>
    <row r="243" spans="2:17">
      <c r="B243" s="504" t="str">
        <f t="shared" si="15"/>
        <v>Vzdálenost závěsu od kraje</v>
      </c>
      <c r="M243" s="487" t="s">
        <v>374</v>
      </c>
      <c r="N243" s="445" t="s">
        <v>462</v>
      </c>
      <c r="O243" s="445" t="s">
        <v>528</v>
      </c>
      <c r="P243" s="445" t="s">
        <v>606</v>
      </c>
      <c r="Q243" s="445" t="s">
        <v>2681</v>
      </c>
    </row>
    <row r="244" spans="2:17">
      <c r="B244" s="504" t="str">
        <f t="shared" si="15"/>
        <v>Vyplňte pouze pokud nebude vrtání symetricky na střed</v>
      </c>
      <c r="M244" s="487" t="s">
        <v>375</v>
      </c>
      <c r="N244" s="445" t="s">
        <v>463</v>
      </c>
      <c r="O244" s="445" t="s">
        <v>1671</v>
      </c>
      <c r="P244" s="445" t="s">
        <v>607</v>
      </c>
      <c r="Q244" s="445" t="s">
        <v>2682</v>
      </c>
    </row>
    <row r="245" spans="2:17">
      <c r="B245" s="504" t="str">
        <f t="shared" si="15"/>
        <v>Objednávkový formulář ALU rámečků</v>
      </c>
      <c r="M245" s="487" t="s">
        <v>376</v>
      </c>
      <c r="N245" s="445" t="s">
        <v>464</v>
      </c>
      <c r="O245" s="445" t="s">
        <v>529</v>
      </c>
      <c r="P245" s="445" t="s">
        <v>673</v>
      </c>
      <c r="Q245" s="445" t="s">
        <v>2683</v>
      </c>
    </row>
    <row r="246" spans="2:17">
      <c r="B246" s="504" t="str">
        <f t="shared" si="15"/>
        <v xml:space="preserve">Při vyplňování formuláře postupujte vždy shora dolů. Provedete li zpětně změnu, překontrolujte zda jsou následující položky správně. </v>
      </c>
      <c r="M246" s="487" t="s">
        <v>413</v>
      </c>
      <c r="N246" s="445" t="s">
        <v>471</v>
      </c>
      <c r="O246" s="445" t="s">
        <v>530</v>
      </c>
      <c r="P246" s="445" t="s">
        <v>2387</v>
      </c>
      <c r="Q246" s="445" t="s">
        <v>2684</v>
      </c>
    </row>
    <row r="247" spans="2:17">
      <c r="B247" s="504" t="str">
        <f t="shared" si="15"/>
        <v>Ceny jsou platné od 17.6.2024/Verze 5.0</v>
      </c>
      <c r="M247" s="487" t="s">
        <v>4350</v>
      </c>
      <c r="N247" s="445" t="s">
        <v>4351</v>
      </c>
      <c r="O247" s="445" t="s">
        <v>4352</v>
      </c>
      <c r="P247" s="445" t="s">
        <v>4353</v>
      </c>
      <c r="Q247" s="445" t="s">
        <v>4354</v>
      </c>
    </row>
    <row r="248" spans="2:17">
      <c r="B248" s="504" t="str">
        <f t="shared" si="15"/>
        <v>Cena celkem</v>
      </c>
      <c r="M248" s="487" t="s">
        <v>29</v>
      </c>
      <c r="N248" s="445" t="s">
        <v>465</v>
      </c>
      <c r="O248" s="445" t="s">
        <v>531</v>
      </c>
      <c r="P248" s="445" t="s">
        <v>609</v>
      </c>
      <c r="Q248" s="445" t="s">
        <v>2534</v>
      </c>
    </row>
    <row r="249" spans="2:17">
      <c r="B249" s="504" t="str">
        <f t="shared" si="15"/>
        <v>Zákazník</v>
      </c>
      <c r="M249" s="487" t="s">
        <v>379</v>
      </c>
      <c r="N249" s="445" t="s">
        <v>379</v>
      </c>
      <c r="O249" s="445" t="s">
        <v>532</v>
      </c>
      <c r="P249" s="445" t="s">
        <v>610</v>
      </c>
      <c r="Q249" s="445" t="s">
        <v>1833</v>
      </c>
    </row>
    <row r="250" spans="2:17">
      <c r="B250" s="504" t="str">
        <f t="shared" si="15"/>
        <v>Kontaktní tel.</v>
      </c>
      <c r="M250" s="487" t="s">
        <v>381</v>
      </c>
      <c r="N250" s="445" t="s">
        <v>466</v>
      </c>
      <c r="O250" s="445" t="s">
        <v>533</v>
      </c>
      <c r="P250" s="445" t="s">
        <v>611</v>
      </c>
      <c r="Q250" s="445" t="s">
        <v>2685</v>
      </c>
    </row>
    <row r="251" spans="2:17">
      <c r="B251" s="504" t="str">
        <f t="shared" si="15"/>
        <v>Kontaktní e-mail</v>
      </c>
      <c r="M251" s="487" t="s">
        <v>382</v>
      </c>
      <c r="N251" s="445" t="s">
        <v>467</v>
      </c>
      <c r="O251" s="445" t="s">
        <v>534</v>
      </c>
      <c r="P251" s="445" t="s">
        <v>612</v>
      </c>
      <c r="Q251" s="445" t="s">
        <v>2686</v>
      </c>
    </row>
    <row r="252" spans="2:17">
      <c r="B252" s="504" t="str">
        <f t="shared" si="15"/>
        <v>Adresa provozovny</v>
      </c>
      <c r="M252" s="487" t="s">
        <v>380</v>
      </c>
      <c r="N252" s="445" t="s">
        <v>468</v>
      </c>
      <c r="O252" s="445" t="s">
        <v>535</v>
      </c>
      <c r="P252" s="445" t="s">
        <v>613</v>
      </c>
      <c r="Q252" s="445" t="s">
        <v>2687</v>
      </c>
    </row>
    <row r="253" spans="2:17">
      <c r="B253" s="504" t="str">
        <f t="shared" si="15"/>
        <v>IČ:</v>
      </c>
      <c r="M253" s="487" t="s">
        <v>378</v>
      </c>
      <c r="N253" s="445" t="s">
        <v>378</v>
      </c>
      <c r="O253" s="445" t="s">
        <v>536</v>
      </c>
      <c r="P253" s="445" t="s">
        <v>378</v>
      </c>
      <c r="Q253" s="445" t="s">
        <v>2535</v>
      </c>
    </row>
    <row r="254" spans="2:17">
      <c r="B254" s="504" t="str">
        <f t="shared" si="15"/>
        <v>Sleva na rámečky</v>
      </c>
      <c r="M254" s="487" t="s">
        <v>383</v>
      </c>
      <c r="N254" s="445" t="s">
        <v>469</v>
      </c>
      <c r="O254" s="445" t="s">
        <v>537</v>
      </c>
      <c r="P254" s="445" t="s">
        <v>614</v>
      </c>
      <c r="Q254" s="445" t="s">
        <v>1838</v>
      </c>
    </row>
    <row r="255" spans="2:17">
      <c r="B255" s="504" t="str">
        <f t="shared" si="15"/>
        <v>Sleva na kování</v>
      </c>
      <c r="M255" s="487" t="s">
        <v>384</v>
      </c>
      <c r="N255" s="445" t="s">
        <v>470</v>
      </c>
      <c r="O255" s="445" t="s">
        <v>538</v>
      </c>
      <c r="P255" s="445" t="s">
        <v>615</v>
      </c>
      <c r="Q255" s="445" t="s">
        <v>1839</v>
      </c>
    </row>
    <row r="256" spans="2:17">
      <c r="B256" s="504" t="str">
        <f t="shared" si="15"/>
        <v>Číslo objednávky</v>
      </c>
      <c r="M256" s="487" t="s">
        <v>404</v>
      </c>
      <c r="N256" s="445" t="s">
        <v>404</v>
      </c>
      <c r="O256" s="445" t="s">
        <v>25</v>
      </c>
      <c r="P256" s="445" t="s">
        <v>616</v>
      </c>
      <c r="Q256" s="445" t="s">
        <v>2536</v>
      </c>
    </row>
    <row r="257" spans="2:17">
      <c r="B257" s="504" t="str">
        <f t="shared" si="15"/>
        <v>Barevné náhledy u jednotlivých názvů RAL a REF jsou pouze orientační!!!!</v>
      </c>
      <c r="M257" s="487" t="s">
        <v>403</v>
      </c>
      <c r="N257" s="445" t="s">
        <v>473</v>
      </c>
      <c r="O257" s="445" t="s">
        <v>1672</v>
      </c>
      <c r="P257" s="445" t="s">
        <v>2388</v>
      </c>
      <c r="Q257" s="445" t="s">
        <v>2537</v>
      </c>
    </row>
    <row r="258" spans="2:17">
      <c r="B258" s="504" t="str">
        <f t="shared" si="15"/>
        <v>Typ kování</v>
      </c>
      <c r="M258" s="487" t="s">
        <v>95</v>
      </c>
      <c r="N258" s="445" t="s">
        <v>472</v>
      </c>
      <c r="O258" s="445" t="s">
        <v>546</v>
      </c>
      <c r="P258" s="445" t="s">
        <v>1668</v>
      </c>
      <c r="Q258" s="445" t="s">
        <v>2688</v>
      </c>
    </row>
    <row r="259" spans="2:17">
      <c r="B259" s="504" t="str">
        <f t="shared" si="15"/>
        <v>AVENTOS HF</v>
      </c>
      <c r="M259" s="487" t="s">
        <v>103</v>
      </c>
      <c r="N259" s="487" t="s">
        <v>103</v>
      </c>
      <c r="O259" s="445" t="s">
        <v>103</v>
      </c>
      <c r="P259" s="445" t="s">
        <v>103</v>
      </c>
      <c r="Q259" s="445" t="s">
        <v>103</v>
      </c>
    </row>
    <row r="260" spans="2:17">
      <c r="B260" s="504" t="str">
        <f t="shared" si="15"/>
        <v>AVENTOS HK TOP</v>
      </c>
      <c r="M260" s="445" t="s">
        <v>1687</v>
      </c>
      <c r="N260" s="445" t="s">
        <v>1687</v>
      </c>
      <c r="O260" s="445" t="s">
        <v>1687</v>
      </c>
      <c r="P260" s="445" t="s">
        <v>1687</v>
      </c>
      <c r="Q260" s="445" t="s">
        <v>1687</v>
      </c>
    </row>
    <row r="261" spans="2:17">
      <c r="B261" s="504" t="str">
        <f t="shared" si="15"/>
        <v>AVENTOS HKS</v>
      </c>
      <c r="M261" s="445" t="s">
        <v>104</v>
      </c>
      <c r="N261" s="445" t="s">
        <v>104</v>
      </c>
      <c r="O261" s="445" t="s">
        <v>104</v>
      </c>
      <c r="P261" s="445" t="s">
        <v>2389</v>
      </c>
      <c r="Q261" s="445" t="s">
        <v>104</v>
      </c>
    </row>
    <row r="262" spans="2:17">
      <c r="B262" s="504" t="str">
        <f t="shared" si="15"/>
        <v>AVENTOS HL</v>
      </c>
      <c r="M262" s="445" t="s">
        <v>105</v>
      </c>
      <c r="N262" s="445" t="s">
        <v>105</v>
      </c>
      <c r="O262" s="445" t="s">
        <v>105</v>
      </c>
      <c r="P262" s="445" t="s">
        <v>105</v>
      </c>
      <c r="Q262" s="445" t="s">
        <v>105</v>
      </c>
    </row>
    <row r="263" spans="2:17">
      <c r="B263" s="504" t="str">
        <f t="shared" si="15"/>
        <v>AVENTOS HS</v>
      </c>
      <c r="M263" s="445" t="s">
        <v>106</v>
      </c>
      <c r="N263" s="445" t="s">
        <v>106</v>
      </c>
      <c r="O263" s="445" t="s">
        <v>106</v>
      </c>
      <c r="P263" s="445" t="s">
        <v>106</v>
      </c>
      <c r="Q263" s="445" t="s">
        <v>106</v>
      </c>
    </row>
    <row r="264" spans="2:17">
      <c r="B264" s="504" t="str">
        <f t="shared" si="15"/>
        <v>AVENTOS HK-XS</v>
      </c>
      <c r="M264" s="445" t="s">
        <v>1027</v>
      </c>
      <c r="N264" s="445" t="s">
        <v>1027</v>
      </c>
      <c r="O264" s="445" t="s">
        <v>1027</v>
      </c>
      <c r="P264" s="445" t="s">
        <v>1027</v>
      </c>
      <c r="Q264" s="445" t="s">
        <v>1027</v>
      </c>
    </row>
    <row r="265" spans="2:17">
      <c r="B265" s="504" t="str">
        <f t="shared" si="15"/>
        <v>AVENTOS HK-XS TIP-ON</v>
      </c>
      <c r="M265" s="445" t="s">
        <v>1056</v>
      </c>
      <c r="N265" s="445" t="s">
        <v>1056</v>
      </c>
      <c r="O265" s="445" t="s">
        <v>1056</v>
      </c>
      <c r="P265" s="445" t="s">
        <v>1056</v>
      </c>
      <c r="Q265" s="445" t="s">
        <v>1056</v>
      </c>
    </row>
    <row r="266" spans="2:17">
      <c r="B266" s="504" t="str">
        <f t="shared" si="15"/>
        <v>FGV</v>
      </c>
      <c r="M266" s="445" t="s">
        <v>13</v>
      </c>
      <c r="N266" s="445" t="s">
        <v>13</v>
      </c>
      <c r="O266" s="445" t="s">
        <v>13</v>
      </c>
      <c r="P266" s="445" t="s">
        <v>13</v>
      </c>
      <c r="Q266" s="445" t="s">
        <v>13</v>
      </c>
    </row>
    <row r="267" spans="2:17">
      <c r="B267" s="504" t="str">
        <f t="shared" si="15"/>
        <v>BLUM</v>
      </c>
      <c r="M267" s="445" t="s">
        <v>14</v>
      </c>
      <c r="N267" s="445" t="s">
        <v>14</v>
      </c>
      <c r="O267" s="445" t="s">
        <v>14</v>
      </c>
      <c r="P267" s="445" t="s">
        <v>14</v>
      </c>
      <c r="Q267" s="445" t="s">
        <v>14</v>
      </c>
    </row>
    <row r="268" spans="2:17">
      <c r="B268" s="504" t="str">
        <f t="shared" si="15"/>
        <v>STRONG bez tlumení</v>
      </c>
      <c r="M268" s="445" t="s">
        <v>1166</v>
      </c>
      <c r="N268" s="445" t="s">
        <v>1572</v>
      </c>
      <c r="O268" s="445" t="s">
        <v>1573</v>
      </c>
      <c r="P268" s="445" t="s">
        <v>1574</v>
      </c>
      <c r="Q268" s="445" t="s">
        <v>2689</v>
      </c>
    </row>
    <row r="269" spans="2:17">
      <c r="B269" s="504" t="str">
        <f t="shared" si="15"/>
        <v>HETTICH</v>
      </c>
      <c r="M269" s="445" t="s">
        <v>1026</v>
      </c>
      <c r="N269" s="445" t="s">
        <v>1026</v>
      </c>
      <c r="O269" s="445" t="s">
        <v>1026</v>
      </c>
      <c r="P269" s="445" t="s">
        <v>1026</v>
      </c>
      <c r="Q269" s="445" t="s">
        <v>1026</v>
      </c>
    </row>
    <row r="270" spans="2:17">
      <c r="B270" s="504" t="str">
        <f t="shared" si="15"/>
        <v xml:space="preserve">Vyplňte pouze pokud nebude vrtání symetricky na střed </v>
      </c>
      <c r="M270" s="487" t="s">
        <v>545</v>
      </c>
      <c r="N270" s="445" t="s">
        <v>636</v>
      </c>
      <c r="O270" s="445" t="s">
        <v>641</v>
      </c>
      <c r="P270" s="445" t="s">
        <v>648</v>
      </c>
      <c r="Q270" s="445" t="s">
        <v>2682</v>
      </c>
    </row>
    <row r="271" spans="2:17">
      <c r="B271" s="504" t="str">
        <f t="shared" si="15"/>
        <v>Posuvné rámečky</v>
      </c>
      <c r="M271" s="487" t="s">
        <v>20</v>
      </c>
      <c r="N271" s="445" t="s">
        <v>637</v>
      </c>
      <c r="O271" s="445" t="s">
        <v>900</v>
      </c>
      <c r="P271" s="445" t="s">
        <v>901</v>
      </c>
      <c r="Q271" s="445" t="s">
        <v>1844</v>
      </c>
    </row>
    <row r="272" spans="2:17">
      <c r="B272" s="504" t="str">
        <f t="shared" si="15"/>
        <v>Standardně je objednávka dodána včetně kování a vodících profilů</v>
      </c>
      <c r="M272" s="487" t="s">
        <v>407</v>
      </c>
      <c r="N272" s="445" t="s">
        <v>630</v>
      </c>
      <c r="O272" s="445" t="s">
        <v>674</v>
      </c>
      <c r="P272" s="445" t="s">
        <v>2390</v>
      </c>
      <c r="Q272" s="445" t="s">
        <v>2690</v>
      </c>
    </row>
    <row r="273" spans="2:17">
      <c r="B273" s="504" t="str">
        <f t="shared" si="15"/>
        <v xml:space="preserve">Vnitřní rozměr skříňky (mm)  </v>
      </c>
      <c r="M273" s="487" t="s">
        <v>633</v>
      </c>
      <c r="N273" s="445" t="s">
        <v>631</v>
      </c>
      <c r="O273" s="445" t="s">
        <v>643</v>
      </c>
      <c r="P273" s="445" t="s">
        <v>651</v>
      </c>
      <c r="Q273" s="445" t="s">
        <v>2538</v>
      </c>
    </row>
    <row r="274" spans="2:17">
      <c r="B274" s="504" t="str">
        <f t="shared" si="15"/>
        <v>Počet dvířek</v>
      </c>
      <c r="M274" s="487" t="s">
        <v>406</v>
      </c>
      <c r="N274" s="445" t="s">
        <v>632</v>
      </c>
      <c r="O274" s="445" t="s">
        <v>2464</v>
      </c>
      <c r="P274" s="445" t="s">
        <v>652</v>
      </c>
      <c r="Q274" s="445" t="s">
        <v>1847</v>
      </c>
    </row>
    <row r="275" spans="2:17">
      <c r="B275" s="504" t="str">
        <f t="shared" si="15"/>
        <v>Zde jsou uvedeny standardní přesahy dvířek</v>
      </c>
      <c r="M275" s="487" t="s">
        <v>844</v>
      </c>
      <c r="N275" s="467" t="s">
        <v>634</v>
      </c>
      <c r="O275" s="445" t="s">
        <v>845</v>
      </c>
      <c r="P275" s="445" t="s">
        <v>2391</v>
      </c>
      <c r="Q275" s="445" t="s">
        <v>2539</v>
      </c>
    </row>
    <row r="276" spans="2:17">
      <c r="B276" s="504" t="str">
        <f t="shared" si="15"/>
        <v>barva</v>
      </c>
      <c r="M276" s="487" t="s">
        <v>385</v>
      </c>
      <c r="N276" s="445" t="s">
        <v>635</v>
      </c>
      <c r="O276" s="445" t="s">
        <v>645</v>
      </c>
      <c r="P276" s="445" t="s">
        <v>653</v>
      </c>
      <c r="Q276" s="445" t="s">
        <v>2540</v>
      </c>
    </row>
    <row r="277" spans="2:17">
      <c r="B277" s="504" t="str">
        <f t="shared" si="15"/>
        <v>Objednávka ALU</v>
      </c>
      <c r="M277" s="487" t="s">
        <v>628</v>
      </c>
      <c r="N277" s="445" t="s">
        <v>628</v>
      </c>
      <c r="O277" s="445" t="s">
        <v>646</v>
      </c>
      <c r="P277" s="445" t="s">
        <v>654</v>
      </c>
      <c r="Q277" s="445" t="s">
        <v>2541</v>
      </c>
    </row>
    <row r="278" spans="2:17">
      <c r="B278" s="504" t="str">
        <f t="shared" si="15"/>
        <v>Posuvné rámečky</v>
      </c>
      <c r="M278" s="487" t="s">
        <v>20</v>
      </c>
      <c r="N278" s="445" t="s">
        <v>637</v>
      </c>
      <c r="O278" s="445" t="s">
        <v>900</v>
      </c>
      <c r="P278" s="445" t="s">
        <v>901</v>
      </c>
      <c r="Q278" s="445" t="s">
        <v>1844</v>
      </c>
    </row>
    <row r="279" spans="2:17">
      <c r="B279" s="504" t="str">
        <f t="shared" si="15"/>
        <v>Barvy LACOBEL A MATELAC</v>
      </c>
      <c r="M279" s="487" t="s">
        <v>629</v>
      </c>
      <c r="N279" s="445" t="s">
        <v>638</v>
      </c>
      <c r="O279" s="445" t="s">
        <v>647</v>
      </c>
      <c r="P279" s="445" t="s">
        <v>655</v>
      </c>
      <c r="Q279" s="445" t="s">
        <v>2691</v>
      </c>
    </row>
    <row r="280" spans="2:17">
      <c r="B280" s="504" t="str">
        <f t="shared" si="15"/>
        <v>20L3200</v>
      </c>
      <c r="M280" s="534" t="s">
        <v>657</v>
      </c>
      <c r="N280" s="534" t="s">
        <v>657</v>
      </c>
      <c r="O280" s="445" t="s">
        <v>657</v>
      </c>
      <c r="P280" s="445" t="s">
        <v>657</v>
      </c>
      <c r="Q280" s="445" t="s">
        <v>657</v>
      </c>
    </row>
    <row r="281" spans="2:17">
      <c r="B281" s="504" t="str">
        <f t="shared" si="15"/>
        <v>20L3500</v>
      </c>
      <c r="M281" s="534" t="s">
        <v>658</v>
      </c>
      <c r="N281" s="534" t="s">
        <v>658</v>
      </c>
      <c r="O281" s="445" t="s">
        <v>658</v>
      </c>
      <c r="P281" s="445" t="s">
        <v>658</v>
      </c>
      <c r="Q281" s="445" t="s">
        <v>658</v>
      </c>
    </row>
    <row r="282" spans="2:17">
      <c r="B282" s="504" t="str">
        <f t="shared" si="15"/>
        <v>20L3800</v>
      </c>
      <c r="M282" s="534" t="s">
        <v>659</v>
      </c>
      <c r="N282" s="534" t="s">
        <v>659</v>
      </c>
      <c r="O282" s="445" t="s">
        <v>659</v>
      </c>
      <c r="P282" s="445" t="s">
        <v>659</v>
      </c>
      <c r="Q282" s="445" t="s">
        <v>659</v>
      </c>
    </row>
    <row r="283" spans="2:17">
      <c r="B283" s="504" t="str">
        <f t="shared" si="15"/>
        <v>20L3900</v>
      </c>
      <c r="M283" s="534" t="s">
        <v>660</v>
      </c>
      <c r="N283" s="534" t="s">
        <v>660</v>
      </c>
      <c r="O283" s="445" t="s">
        <v>660</v>
      </c>
      <c r="P283" s="445" t="s">
        <v>660</v>
      </c>
      <c r="Q283" s="445" t="s">
        <v>660</v>
      </c>
    </row>
    <row r="284" spans="2:17">
      <c r="B284" s="504" t="str">
        <f t="shared" si="15"/>
        <v>Typ ramene</v>
      </c>
      <c r="M284" s="534" t="s">
        <v>661</v>
      </c>
      <c r="N284" s="534" t="s">
        <v>664</v>
      </c>
      <c r="O284" s="445" t="s">
        <v>665</v>
      </c>
      <c r="P284" s="445" t="s">
        <v>666</v>
      </c>
      <c r="Q284" s="445" t="s">
        <v>2692</v>
      </c>
    </row>
    <row r="285" spans="2:17">
      <c r="B285" s="504" t="str">
        <f t="shared" si="15"/>
        <v>Hmotnost úchytky (g)</v>
      </c>
      <c r="M285" s="534" t="s">
        <v>662</v>
      </c>
      <c r="N285" s="534" t="s">
        <v>667</v>
      </c>
      <c r="O285" s="445" t="s">
        <v>668</v>
      </c>
      <c r="P285" s="445" t="s">
        <v>669</v>
      </c>
      <c r="Q285" s="445" t="s">
        <v>1853</v>
      </c>
    </row>
    <row r="286" spans="2:17">
      <c r="B286" s="504" t="str">
        <f t="shared" si="15"/>
        <v>Typy profilů</v>
      </c>
      <c r="M286" s="534" t="s">
        <v>663</v>
      </c>
      <c r="N286" s="445" t="s">
        <v>670</v>
      </c>
      <c r="O286" s="445" t="s">
        <v>671</v>
      </c>
      <c r="P286" s="445" t="s">
        <v>672</v>
      </c>
      <c r="Q286" s="445" t="s">
        <v>2693</v>
      </c>
    </row>
    <row r="287" spans="2:17">
      <c r="B287" s="504" t="str">
        <f t="shared" si="15"/>
        <v>AVENTOS HF Servo Drive</v>
      </c>
      <c r="M287" s="487" t="s">
        <v>742</v>
      </c>
      <c r="N287" s="487" t="s">
        <v>742</v>
      </c>
      <c r="O287" s="445" t="s">
        <v>742</v>
      </c>
      <c r="P287" s="445" t="s">
        <v>742</v>
      </c>
      <c r="Q287" s="445" t="s">
        <v>742</v>
      </c>
    </row>
    <row r="288" spans="2:17">
      <c r="B288" s="504" t="str">
        <f t="shared" si="15"/>
        <v>AVENTOS HK TOP TIP ON</v>
      </c>
      <c r="M288" s="487" t="s">
        <v>1689</v>
      </c>
      <c r="N288" s="487" t="s">
        <v>1689</v>
      </c>
      <c r="O288" s="445" t="s">
        <v>1689</v>
      </c>
      <c r="P288" s="445" t="s">
        <v>1689</v>
      </c>
      <c r="Q288" s="445" t="s">
        <v>1689</v>
      </c>
    </row>
    <row r="289" spans="2:17">
      <c r="B289" s="504" t="str">
        <f t="shared" si="15"/>
        <v>AVENTOS HKS TIP ON</v>
      </c>
      <c r="M289" s="487" t="s">
        <v>743</v>
      </c>
      <c r="N289" s="487" t="s">
        <v>743</v>
      </c>
      <c r="O289" s="445" t="s">
        <v>743</v>
      </c>
      <c r="P289" s="445" t="s">
        <v>2392</v>
      </c>
      <c r="Q289" s="445" t="s">
        <v>743</v>
      </c>
    </row>
    <row r="290" spans="2:17">
      <c r="B290" s="504" t="str">
        <f t="shared" si="15"/>
        <v>AVENTOS HK TOP Servo Drive</v>
      </c>
      <c r="M290" s="487" t="s">
        <v>1688</v>
      </c>
      <c r="N290" s="487" t="s">
        <v>1688</v>
      </c>
      <c r="O290" s="445" t="s">
        <v>1688</v>
      </c>
      <c r="P290" s="445" t="s">
        <v>1688</v>
      </c>
      <c r="Q290" s="445" t="s">
        <v>1688</v>
      </c>
    </row>
    <row r="291" spans="2:17">
      <c r="B291" s="504" t="str">
        <f t="shared" si="15"/>
        <v>AVENTOS HL Servo Drive</v>
      </c>
      <c r="M291" s="487" t="s">
        <v>744</v>
      </c>
      <c r="N291" s="487" t="s">
        <v>744</v>
      </c>
      <c r="O291" s="445" t="s">
        <v>744</v>
      </c>
      <c r="P291" s="445" t="s">
        <v>744</v>
      </c>
      <c r="Q291" s="445" t="s">
        <v>744</v>
      </c>
    </row>
    <row r="292" spans="2:17">
      <c r="B292" s="504" t="str">
        <f t="shared" si="15"/>
        <v>AVENTOS HS Servo Drive</v>
      </c>
      <c r="M292" s="487" t="s">
        <v>745</v>
      </c>
      <c r="N292" s="487" t="s">
        <v>745</v>
      </c>
      <c r="O292" s="445" t="s">
        <v>745</v>
      </c>
      <c r="P292" s="445" t="s">
        <v>745</v>
      </c>
      <c r="Q292" s="445" t="s">
        <v>745</v>
      </c>
    </row>
    <row r="293" spans="2:17">
      <c r="B293" s="504" t="str">
        <f t="shared" si="15"/>
        <v>spodní</v>
      </c>
      <c r="M293" s="487" t="s">
        <v>799</v>
      </c>
      <c r="N293" s="445" t="s">
        <v>800</v>
      </c>
      <c r="O293" s="445" t="s">
        <v>801</v>
      </c>
      <c r="P293" s="445" t="s">
        <v>802</v>
      </c>
      <c r="Q293" s="445" t="s">
        <v>2542</v>
      </c>
    </row>
    <row r="294" spans="2:17">
      <c r="B294" s="504" t="str">
        <f t="shared" si="15"/>
        <v>Minimální vzdálenost umístění závěsů</v>
      </c>
      <c r="M294" s="534" t="s">
        <v>804</v>
      </c>
      <c r="N294" s="445" t="s">
        <v>857</v>
      </c>
      <c r="O294" s="445" t="s">
        <v>872</v>
      </c>
      <c r="P294" s="445" t="s">
        <v>873</v>
      </c>
      <c r="Q294" s="445" t="s">
        <v>2694</v>
      </c>
    </row>
    <row r="295" spans="2:17">
      <c r="B295" s="504" t="str">
        <f t="shared" ref="B295:B358" si="16">IF($D$1=1,M295,IF($D$1=2,N295,IF($D$1=3,O295,IF($D$1=4,P295,IF($D$1=5,Q295,0)))))</f>
        <v>Naložený s integr. Blumotionem</v>
      </c>
      <c r="M295" s="487" t="s">
        <v>806</v>
      </c>
      <c r="N295" s="445" t="s">
        <v>858</v>
      </c>
      <c r="O295" s="445" t="s">
        <v>2465</v>
      </c>
      <c r="P295" s="445" t="s">
        <v>875</v>
      </c>
      <c r="Q295" s="445" t="s">
        <v>2695</v>
      </c>
    </row>
    <row r="296" spans="2:17">
      <c r="B296" s="504" t="str">
        <f t="shared" si="16"/>
        <v>Standardní vrtání otvorů pro závěsy u všech typů kování Aventos HF, je 100 mm od kraje.</v>
      </c>
      <c r="M296" s="532" t="s">
        <v>850</v>
      </c>
      <c r="N296" s="445" t="s">
        <v>859</v>
      </c>
      <c r="O296" s="445" t="s">
        <v>1673</v>
      </c>
      <c r="P296" s="445" t="s">
        <v>2393</v>
      </c>
      <c r="Q296" s="445" t="s">
        <v>2543</v>
      </c>
    </row>
    <row r="297" spans="2:17">
      <c r="B297" s="504" t="str">
        <f t="shared" si="16"/>
        <v>Standardní průměr otvorů pro úchytky je ve skle 7 mm a v rámečku 5 mm (distanční podložky jsou součástí balení).</v>
      </c>
      <c r="M297" s="487" t="s">
        <v>810</v>
      </c>
      <c r="N297" s="445" t="s">
        <v>860</v>
      </c>
      <c r="O297" s="445" t="s">
        <v>877</v>
      </c>
      <c r="P297" s="445" t="s">
        <v>878</v>
      </c>
      <c r="Q297" s="445" t="s">
        <v>2544</v>
      </c>
    </row>
    <row r="298" spans="2:17">
      <c r="B298" s="504" t="str">
        <f t="shared" si="16"/>
        <v xml:space="preserve">Pokud je váš požadavek jiný než je uvedeno výše, uveďte ho do poznámky. </v>
      </c>
      <c r="M298" s="487" t="s">
        <v>811</v>
      </c>
      <c r="N298" s="445" t="s">
        <v>861</v>
      </c>
      <c r="O298" s="445" t="s">
        <v>879</v>
      </c>
      <c r="P298" s="445" t="s">
        <v>880</v>
      </c>
      <c r="Q298" s="445" t="s">
        <v>2545</v>
      </c>
    </row>
    <row r="299" spans="2:17">
      <c r="B299" s="504" t="str">
        <f t="shared" si="16"/>
        <v>U určitých typů úchytek jsou závity pro šrouby zapuštěné a je nutné použít vhodné distanční podložky.</v>
      </c>
      <c r="M299" s="487" t="s">
        <v>815</v>
      </c>
      <c r="N299" s="445" t="s">
        <v>862</v>
      </c>
      <c r="O299" s="445" t="s">
        <v>2466</v>
      </c>
      <c r="P299" s="445" t="s">
        <v>1667</v>
      </c>
      <c r="Q299" s="445" t="s">
        <v>2696</v>
      </c>
    </row>
    <row r="300" spans="2:17">
      <c r="B300" s="504" t="str">
        <f t="shared" si="16"/>
        <v>Reklamace spojené s poškozením nelze uplatnit, pokud byl rámeček již namontován.</v>
      </c>
      <c r="M300" s="487" t="s">
        <v>812</v>
      </c>
      <c r="N300" s="445" t="s">
        <v>863</v>
      </c>
      <c r="O300" s="445" t="s">
        <v>881</v>
      </c>
      <c r="P300" s="445" t="s">
        <v>882</v>
      </c>
      <c r="Q300" s="445" t="s">
        <v>2697</v>
      </c>
    </row>
    <row r="301" spans="2:17">
      <c r="B301" s="504" t="str">
        <f t="shared" si="16"/>
        <v xml:space="preserve">Pro připevnění kování do ALU rámečku, je nutné používat vruty pro toto určené (např. kód 13681). </v>
      </c>
      <c r="M301" s="487" t="s">
        <v>813</v>
      </c>
      <c r="N301" s="445" t="s">
        <v>864</v>
      </c>
      <c r="O301" s="445" t="s">
        <v>1675</v>
      </c>
      <c r="P301" s="445" t="s">
        <v>883</v>
      </c>
      <c r="Q301" s="445" t="s">
        <v>2698</v>
      </c>
    </row>
    <row r="302" spans="2:17">
      <c r="B302" s="504" t="str">
        <f t="shared" si="16"/>
        <v>Vždy používejte aktuální verzi formuláře, který je dostupný na našich stánkách.</v>
      </c>
      <c r="M302" s="487" t="s">
        <v>820</v>
      </c>
      <c r="N302" s="445" t="s">
        <v>865</v>
      </c>
      <c r="O302" s="445" t="s">
        <v>884</v>
      </c>
      <c r="P302" s="445" t="s">
        <v>2394</v>
      </c>
      <c r="Q302" s="445" t="s">
        <v>2699</v>
      </c>
    </row>
    <row r="303" spans="2:17">
      <c r="B303" s="504" t="str">
        <f t="shared" si="16"/>
        <v>Mezera mezi předěly musí být alespoň 100 mm.</v>
      </c>
      <c r="M303" s="487" t="s">
        <v>2311</v>
      </c>
      <c r="N303" s="445" t="s">
        <v>2313</v>
      </c>
      <c r="O303" s="445" t="s">
        <v>2467</v>
      </c>
      <c r="P303" s="445" t="s">
        <v>2312</v>
      </c>
      <c r="Q303" s="445" t="s">
        <v>2700</v>
      </c>
    </row>
    <row r="304" spans="2:17">
      <c r="B304" s="504" t="str">
        <f t="shared" si="16"/>
        <v xml:space="preserve">Objednávka může obsahovat i více typů (rozměrů) rámečků najednou, přičemž se taková objednávka bere jako platná. Proto doporučujeme před odeslání zkontrolovat formulář, zda obsahuje pouze vámi požadované rámečky.     </v>
      </c>
      <c r="M304" s="487" t="s">
        <v>814</v>
      </c>
      <c r="N304" s="445" t="s">
        <v>886</v>
      </c>
      <c r="O304" s="445" t="s">
        <v>1676</v>
      </c>
      <c r="P304" s="445" t="s">
        <v>887</v>
      </c>
      <c r="Q304" s="445" t="s">
        <v>2701</v>
      </c>
    </row>
    <row r="305" spans="2:17">
      <c r="B305" s="504" t="str">
        <f t="shared" si="16"/>
        <v>Formulář obsahuje několik listů, mezi kterými je možné se přepínat ve spodní části.</v>
      </c>
      <c r="M305" s="487" t="s">
        <v>816</v>
      </c>
      <c r="N305" s="445" t="s">
        <v>888</v>
      </c>
      <c r="O305" s="445" t="s">
        <v>889</v>
      </c>
      <c r="P305" s="445" t="s">
        <v>890</v>
      </c>
      <c r="Q305" s="445" t="s">
        <v>2702</v>
      </c>
    </row>
    <row r="306" spans="2:17">
      <c r="B306" s="504" t="str">
        <f t="shared" si="16"/>
        <v xml:space="preserve">Vyplňte prosím vaše kontaktní údaje a poté klikněte na požadované políčko níže. </v>
      </c>
      <c r="M306" s="487" t="s">
        <v>962</v>
      </c>
      <c r="N306" s="445" t="s">
        <v>891</v>
      </c>
      <c r="O306" s="445" t="s">
        <v>892</v>
      </c>
      <c r="P306" s="445" t="s">
        <v>893</v>
      </c>
      <c r="Q306" s="445" t="s">
        <v>2546</v>
      </c>
    </row>
    <row r="307" spans="2:17">
      <c r="B307" s="504" t="str">
        <f t="shared" si="16"/>
        <v>Vyplněním kontaktních údajů vyjadřujete současně souhlas, že jste se seznámil s informacemi uvedenými níže!</v>
      </c>
      <c r="M307" s="487" t="s">
        <v>848</v>
      </c>
      <c r="N307" s="445" t="s">
        <v>894</v>
      </c>
      <c r="O307" s="445" t="s">
        <v>895</v>
      </c>
      <c r="P307" s="445" t="s">
        <v>896</v>
      </c>
      <c r="Q307" s="445" t="s">
        <v>2703</v>
      </c>
    </row>
    <row r="308" spans="2:17">
      <c r="B308" s="504" t="str">
        <f t="shared" si="16"/>
        <v>Běžné rámečky</v>
      </c>
      <c r="M308" s="487" t="s">
        <v>817</v>
      </c>
      <c r="N308" s="445" t="s">
        <v>897</v>
      </c>
      <c r="O308" s="445" t="s">
        <v>898</v>
      </c>
      <c r="P308" s="445" t="s">
        <v>899</v>
      </c>
      <c r="Q308" s="445" t="s">
        <v>2585</v>
      </c>
    </row>
    <row r="309" spans="2:17">
      <c r="B309" s="504" t="str">
        <f t="shared" si="16"/>
        <v>Posuvné rámečky</v>
      </c>
      <c r="M309" s="487" t="s">
        <v>20</v>
      </c>
      <c r="N309" s="445" t="s">
        <v>637</v>
      </c>
      <c r="O309" s="445" t="s">
        <v>900</v>
      </c>
      <c r="P309" s="445" t="s">
        <v>901</v>
      </c>
      <c r="Q309" s="445" t="s">
        <v>1844</v>
      </c>
    </row>
    <row r="310" spans="2:17">
      <c r="B310" s="504" t="str">
        <f t="shared" si="16"/>
        <v>Nákresy profilů a spoj. kování</v>
      </c>
      <c r="M310" s="487" t="s">
        <v>818</v>
      </c>
      <c r="N310" s="445" t="s">
        <v>4330</v>
      </c>
      <c r="O310" s="445" t="s">
        <v>903</v>
      </c>
      <c r="P310" s="445" t="s">
        <v>904</v>
      </c>
      <c r="Q310" s="445" t="s">
        <v>2704</v>
      </c>
    </row>
    <row r="311" spans="2:17">
      <c r="B311" s="504" t="str">
        <f t="shared" si="16"/>
        <v>Maximální doporučený rozměr rámečku je 2550 x 1250 mm (v případě rámečků s nalepeným sklem, např. Corleone 1500 x 600 mm)</v>
      </c>
      <c r="M311" s="487" t="s">
        <v>3535</v>
      </c>
      <c r="N311" s="445" t="s">
        <v>3536</v>
      </c>
      <c r="O311" s="445" t="s">
        <v>3537</v>
      </c>
      <c r="P311" s="445" t="s">
        <v>3548</v>
      </c>
      <c r="Q311" s="445" t="s">
        <v>3538</v>
      </c>
    </row>
    <row r="312" spans="2:17">
      <c r="B312" s="504" t="str">
        <f t="shared" si="16"/>
        <v xml:space="preserve">Na požadavek zákazníka, je možné dodat rámečky s maximální délkou profilu 3m. Maximální rozměr skla je v tomto případě 2500 x 1300 mm. </v>
      </c>
      <c r="M312" s="487" t="s">
        <v>963</v>
      </c>
      <c r="N312" s="445" t="s">
        <v>907</v>
      </c>
      <c r="O312" s="445" t="s">
        <v>2468</v>
      </c>
      <c r="P312" s="445" t="s">
        <v>909</v>
      </c>
      <c r="Q312" s="445" t="s">
        <v>2547</v>
      </c>
    </row>
    <row r="313" spans="2:17">
      <c r="B313" s="504" t="str">
        <f t="shared" si="16"/>
        <v>Všechny skla Lacobel a Matelac je možné podlepit bezpečnostní fólií (v případě potřeby uveďte do poznámky)</v>
      </c>
      <c r="M313" s="487" t="s">
        <v>822</v>
      </c>
      <c r="N313" s="445" t="s">
        <v>910</v>
      </c>
      <c r="O313" s="445" t="s">
        <v>2469</v>
      </c>
      <c r="P313" s="445" t="s">
        <v>2395</v>
      </c>
      <c r="Q313" s="445" t="s">
        <v>2548</v>
      </c>
    </row>
    <row r="314" spans="2:17">
      <c r="B314" s="504" t="str">
        <f t="shared" si="16"/>
        <v xml:space="preserve">Vyplněnou objednávku zašlete na adresu </v>
      </c>
      <c r="M314" s="487" t="s">
        <v>823</v>
      </c>
      <c r="N314" s="445" t="s">
        <v>912</v>
      </c>
      <c r="O314" s="445" t="s">
        <v>2470</v>
      </c>
      <c r="P314" s="445" t="s">
        <v>914</v>
      </c>
      <c r="Q314" s="445" t="s">
        <v>2549</v>
      </c>
    </row>
    <row r="315" spans="2:17">
      <c r="B315" s="504" t="str">
        <f t="shared" si="16"/>
        <v>objednavky@demos-trade.com</v>
      </c>
      <c r="M315" s="535" t="s">
        <v>826</v>
      </c>
      <c r="N315" s="536" t="s">
        <v>826</v>
      </c>
      <c r="O315" s="445" t="s">
        <v>824</v>
      </c>
      <c r="P315" s="445" t="s">
        <v>825</v>
      </c>
      <c r="Q315" s="445" t="s">
        <v>2550</v>
      </c>
    </row>
    <row r="316" spans="2:17">
      <c r="B316" s="504" t="str">
        <f t="shared" si="16"/>
        <v>Nákresy profilů</v>
      </c>
      <c r="M316" s="487" t="s">
        <v>827</v>
      </c>
      <c r="N316" s="445" t="s">
        <v>915</v>
      </c>
      <c r="O316" s="445" t="s">
        <v>916</v>
      </c>
      <c r="P316" s="445" t="s">
        <v>917</v>
      </c>
      <c r="Q316" s="445" t="s">
        <v>1875</v>
      </c>
    </row>
    <row r="317" spans="2:17">
      <c r="B317" s="504" t="str">
        <f t="shared" si="16"/>
        <v>Sada kování na úzký rámeček H27AL (88630)</v>
      </c>
      <c r="M317" s="487" t="s">
        <v>829</v>
      </c>
      <c r="N317" s="445" t="s">
        <v>918</v>
      </c>
      <c r="O317" s="445" t="s">
        <v>919</v>
      </c>
      <c r="P317" s="445" t="s">
        <v>920</v>
      </c>
      <c r="Q317" s="445" t="s">
        <v>2551</v>
      </c>
    </row>
    <row r="318" spans="2:17">
      <c r="B318" s="504" t="str">
        <f t="shared" si="16"/>
        <v>Sada kování na široký rámeček H37AL (88631)</v>
      </c>
      <c r="M318" s="487" t="s">
        <v>830</v>
      </c>
      <c r="N318" s="445" t="s">
        <v>921</v>
      </c>
      <c r="O318" s="445" t="s">
        <v>922</v>
      </c>
      <c r="P318" s="445" t="s">
        <v>923</v>
      </c>
      <c r="Q318" s="445" t="s">
        <v>2552</v>
      </c>
    </row>
    <row r="319" spans="2:17">
      <c r="B319" s="504" t="str">
        <f t="shared" si="16"/>
        <v>Výška rámečku je standardně o 6 mm menší, než uvedená vnitřní výška skříňky.</v>
      </c>
      <c r="M319" s="487" t="s">
        <v>828</v>
      </c>
      <c r="N319" s="445" t="s">
        <v>924</v>
      </c>
      <c r="O319" s="445" t="s">
        <v>1679</v>
      </c>
      <c r="P319" s="445" t="s">
        <v>925</v>
      </c>
      <c r="Q319" s="445" t="s">
        <v>2553</v>
      </c>
    </row>
    <row r="320" spans="2:17">
      <c r="B320" s="504" t="str">
        <f t="shared" si="16"/>
        <v>Standardně jsou rámečky připraveny pro posuvné kování H27AL (nosnost 25 kg na rámeček) a H37AL (nosnost 35 kg na rámeček).</v>
      </c>
      <c r="M320" s="487" t="s">
        <v>2337</v>
      </c>
      <c r="N320" s="445" t="s">
        <v>2338</v>
      </c>
      <c r="O320" s="445" t="s">
        <v>2429</v>
      </c>
      <c r="P320" s="445" t="s">
        <v>2428</v>
      </c>
      <c r="Q320" s="445" t="s">
        <v>2554</v>
      </c>
    </row>
    <row r="321" spans="2:17">
      <c r="B321" s="504" t="str">
        <f t="shared" si="16"/>
        <v>Horní vedení délka 2 m (87313)</v>
      </c>
      <c r="M321" s="487" t="s">
        <v>832</v>
      </c>
      <c r="N321" s="445" t="s">
        <v>928</v>
      </c>
      <c r="O321" s="445" t="s">
        <v>929</v>
      </c>
      <c r="P321" s="445" t="s">
        <v>930</v>
      </c>
      <c r="Q321" s="445" t="s">
        <v>2705</v>
      </c>
    </row>
    <row r="322" spans="2:17">
      <c r="B322" s="504" t="str">
        <f t="shared" si="16"/>
        <v>Spodní vedení délka 2 m (87315)</v>
      </c>
      <c r="M322" s="487" t="s">
        <v>834</v>
      </c>
      <c r="N322" s="445" t="s">
        <v>931</v>
      </c>
      <c r="O322" s="445" t="s">
        <v>932</v>
      </c>
      <c r="P322" s="445" t="s">
        <v>933</v>
      </c>
      <c r="Q322" s="445" t="s">
        <v>2706</v>
      </c>
    </row>
    <row r="323" spans="2:17">
      <c r="B323" s="504" t="str">
        <f t="shared" si="16"/>
        <v>Horní vedení délka 3 m (87312)</v>
      </c>
      <c r="M323" s="487" t="s">
        <v>833</v>
      </c>
      <c r="N323" s="445" t="s">
        <v>934</v>
      </c>
      <c r="O323" s="445" t="s">
        <v>935</v>
      </c>
      <c r="P323" s="445" t="s">
        <v>936</v>
      </c>
      <c r="Q323" s="445" t="s">
        <v>2707</v>
      </c>
    </row>
    <row r="324" spans="2:17">
      <c r="B324" s="504" t="str">
        <f t="shared" si="16"/>
        <v>Spodní vedení délka 3 m (87314)</v>
      </c>
      <c r="M324" s="487" t="s">
        <v>835</v>
      </c>
      <c r="N324" s="445" t="s">
        <v>937</v>
      </c>
      <c r="O324" s="445" t="s">
        <v>938</v>
      </c>
      <c r="P324" s="445" t="s">
        <v>939</v>
      </c>
      <c r="Q324" s="445" t="s">
        <v>2708</v>
      </c>
    </row>
    <row r="325" spans="2:17">
      <c r="B325" s="504" t="str">
        <f t="shared" si="16"/>
        <v>Jiný požadavek (ks)</v>
      </c>
      <c r="M325" s="487" t="s">
        <v>843</v>
      </c>
      <c r="N325" s="445" t="s">
        <v>940</v>
      </c>
      <c r="O325" s="445" t="s">
        <v>941</v>
      </c>
      <c r="P325" s="445" t="s">
        <v>942</v>
      </c>
      <c r="Q325" s="445" t="s">
        <v>2709</v>
      </c>
    </row>
    <row r="326" spans="2:17">
      <c r="B326" s="504" t="str">
        <f t="shared" si="16"/>
        <v>Množství (ks)</v>
      </c>
      <c r="M326" s="487" t="s">
        <v>847</v>
      </c>
      <c r="N326" s="445" t="s">
        <v>943</v>
      </c>
      <c r="O326" s="445" t="s">
        <v>944</v>
      </c>
      <c r="P326" s="445" t="s">
        <v>945</v>
      </c>
      <c r="Q326" s="445" t="s">
        <v>2710</v>
      </c>
    </row>
    <row r="327" spans="2:17">
      <c r="B327" s="504" t="str">
        <f t="shared" si="16"/>
        <v>K nadrozměrným rámečkům (nad rozměr 1200 x 800 mm), může být účtován příplatek za speciální balení a dopravu (více informací na zákaznickém centru).</v>
      </c>
      <c r="M327" s="487" t="s">
        <v>964</v>
      </c>
      <c r="N327" s="445" t="s">
        <v>946</v>
      </c>
      <c r="O327" s="445" t="s">
        <v>2471</v>
      </c>
      <c r="P327" s="445" t="s">
        <v>2396</v>
      </c>
      <c r="Q327" s="445" t="s">
        <v>2711</v>
      </c>
    </row>
    <row r="328" spans="2:17">
      <c r="B328" s="504" t="str">
        <f t="shared" si="16"/>
        <v xml:space="preserve">Vhodné rozměry rámečku pro konkrétní typ kování je nutné ověřit před zadáním do objednávky (Aventplan, katalog, …), formulář nemá nastaveny omezení. </v>
      </c>
      <c r="M328" s="487" t="s">
        <v>849</v>
      </c>
      <c r="N328" s="445" t="s">
        <v>949</v>
      </c>
      <c r="O328" s="445" t="s">
        <v>2472</v>
      </c>
      <c r="P328" s="445" t="s">
        <v>950</v>
      </c>
      <c r="Q328" s="445" t="s">
        <v>2555</v>
      </c>
    </row>
    <row r="329" spans="2:17">
      <c r="B329" s="504" t="str">
        <f t="shared" si="16"/>
        <v>Vzorkovník skel je možné objednat pod kódy Lacebel VZK003P a Matelac VZK004P.</v>
      </c>
      <c r="M329" s="487" t="s">
        <v>851</v>
      </c>
      <c r="N329" s="445" t="s">
        <v>952</v>
      </c>
      <c r="O329" s="445" t="s">
        <v>951</v>
      </c>
      <c r="P329" s="445" t="s">
        <v>2397</v>
      </c>
      <c r="Q329" s="445" t="s">
        <v>2556</v>
      </c>
    </row>
    <row r="330" spans="2:17">
      <c r="B330" s="504" t="str">
        <f t="shared" si="16"/>
        <v>Cena za posuvné rámečky je shodná jako cena za běžné rámečky.</v>
      </c>
      <c r="M330" s="487" t="s">
        <v>2339</v>
      </c>
      <c r="N330" s="445" t="s">
        <v>966</v>
      </c>
      <c r="O330" s="445" t="s">
        <v>2430</v>
      </c>
      <c r="P330" s="445" t="s">
        <v>2431</v>
      </c>
      <c r="Q330" s="445" t="s">
        <v>2557</v>
      </c>
    </row>
    <row r="331" spans="2:17">
      <c r="B331" s="504" t="str">
        <f t="shared" si="16"/>
        <v>Pokud je úchytka připevněna skrz sklo, je nutné vždy použít distanční podložku (např. 144516, 191970, C0315)</v>
      </c>
      <c r="M331" s="487" t="s">
        <v>1682</v>
      </c>
      <c r="N331" s="445" t="s">
        <v>1683</v>
      </c>
      <c r="O331" s="445" t="s">
        <v>1684</v>
      </c>
      <c r="P331" s="445" t="s">
        <v>1685</v>
      </c>
      <c r="Q331" s="445" t="s">
        <v>2589</v>
      </c>
    </row>
    <row r="332" spans="2:17">
      <c r="B332" s="504" t="str">
        <f t="shared" si="16"/>
        <v>Uvedené nákresy dvířek jsou znázorněny při pohledu z přední strany.</v>
      </c>
      <c r="M332" s="487" t="s">
        <v>1009</v>
      </c>
      <c r="N332" s="445" t="s">
        <v>1374</v>
      </c>
      <c r="O332" s="445" t="s">
        <v>2473</v>
      </c>
      <c r="P332" s="445" t="s">
        <v>2398</v>
      </c>
      <c r="Q332" s="445" t="s">
        <v>2558</v>
      </c>
    </row>
    <row r="333" spans="2:17">
      <c r="B333" s="504" t="str">
        <f t="shared" si="16"/>
        <v>Nadrozměrný rámeček, může být účtováno vyšší dopravné</v>
      </c>
      <c r="M333" s="487" t="s">
        <v>1010</v>
      </c>
      <c r="N333" s="445" t="s">
        <v>1011</v>
      </c>
      <c r="O333" s="445" t="s">
        <v>1012</v>
      </c>
      <c r="P333" s="445" t="s">
        <v>1013</v>
      </c>
      <c r="Q333" s="445" t="s">
        <v>2559</v>
      </c>
    </row>
    <row r="334" spans="2:17">
      <c r="B334" s="504" t="str">
        <f t="shared" si="16"/>
        <v>Umístění ramene</v>
      </c>
      <c r="M334" s="487" t="s">
        <v>1055</v>
      </c>
      <c r="N334" s="445" t="s">
        <v>1375</v>
      </c>
      <c r="O334" s="445" t="s">
        <v>2474</v>
      </c>
      <c r="P334" s="445" t="s">
        <v>1376</v>
      </c>
      <c r="Q334" s="445" t="s">
        <v>2560</v>
      </c>
    </row>
    <row r="335" spans="2:17">
      <c r="B335" s="504" t="str">
        <f t="shared" si="16"/>
        <v>Maximální možný rozměr rámečku je 2500x1300mm</v>
      </c>
      <c r="M335" s="487" t="s">
        <v>1212</v>
      </c>
      <c r="N335" s="445" t="s">
        <v>1220</v>
      </c>
      <c r="O335" s="445" t="s">
        <v>1221</v>
      </c>
      <c r="P335" s="445" t="s">
        <v>1222</v>
      </c>
      <c r="Q335" s="445" t="s">
        <v>2712</v>
      </c>
    </row>
    <row r="336" spans="2:17">
      <c r="B336" s="504" t="str">
        <f t="shared" si="16"/>
        <v>Minimální vzdálenost závěsu od kraje rámečku je 70mm</v>
      </c>
      <c r="M336" s="487" t="s">
        <v>1213</v>
      </c>
      <c r="N336" s="445" t="s">
        <v>1223</v>
      </c>
      <c r="O336" s="445" t="s">
        <v>1224</v>
      </c>
      <c r="P336" s="445" t="s">
        <v>1225</v>
      </c>
      <c r="Q336" s="445" t="s">
        <v>2561</v>
      </c>
    </row>
    <row r="337" spans="2:17">
      <c r="B337" s="504" t="str">
        <f t="shared" si="16"/>
        <v>Minimální vzdálenost závěsu od kraje rámečku je 80mm</v>
      </c>
      <c r="M337" s="487" t="s">
        <v>1214</v>
      </c>
      <c r="N337" s="445" t="s">
        <v>1226</v>
      </c>
      <c r="O337" s="445" t="s">
        <v>1227</v>
      </c>
      <c r="P337" s="445" t="s">
        <v>1228</v>
      </c>
      <c r="Q337" s="445" t="s">
        <v>2562</v>
      </c>
    </row>
    <row r="338" spans="2:17">
      <c r="B338" s="504" t="str">
        <f t="shared" si="16"/>
        <v>Naložený clip</v>
      </c>
      <c r="M338" s="487" t="s">
        <v>121</v>
      </c>
      <c r="N338" s="445" t="s">
        <v>121</v>
      </c>
      <c r="O338" s="445" t="s">
        <v>481</v>
      </c>
      <c r="P338" s="445" t="s">
        <v>557</v>
      </c>
      <c r="Q338" s="445" t="s">
        <v>2647</v>
      </c>
    </row>
    <row r="339" spans="2:17">
      <c r="B339" s="504" t="str">
        <f t="shared" si="16"/>
        <v>Polonaložený clip</v>
      </c>
      <c r="M339" s="487" t="s">
        <v>122</v>
      </c>
      <c r="N339" s="445" t="s">
        <v>122</v>
      </c>
      <c r="O339" s="445" t="s">
        <v>482</v>
      </c>
      <c r="P339" s="445" t="s">
        <v>2374</v>
      </c>
      <c r="Q339" s="445" t="s">
        <v>2648</v>
      </c>
    </row>
    <row r="340" spans="2:17">
      <c r="B340" s="504" t="str">
        <f t="shared" si="16"/>
        <v>Vložený clip</v>
      </c>
      <c r="M340" s="487" t="s">
        <v>123</v>
      </c>
      <c r="N340" s="445" t="s">
        <v>123</v>
      </c>
      <c r="O340" s="445" t="s">
        <v>483</v>
      </c>
      <c r="P340" s="445" t="s">
        <v>2375</v>
      </c>
      <c r="Q340" s="445" t="s">
        <v>2649</v>
      </c>
    </row>
    <row r="341" spans="2:17">
      <c r="B341" s="504" t="str">
        <f t="shared" si="16"/>
        <v>Úhel 45°</v>
      </c>
      <c r="M341" s="487" t="s">
        <v>124</v>
      </c>
      <c r="N341" s="445" t="s">
        <v>422</v>
      </c>
      <c r="O341" s="445" t="s">
        <v>484</v>
      </c>
      <c r="P341" s="445" t="s">
        <v>560</v>
      </c>
      <c r="Q341" s="445" t="s">
        <v>2523</v>
      </c>
    </row>
    <row r="342" spans="2:17">
      <c r="B342" s="504" t="str">
        <f t="shared" si="16"/>
        <v>Naložený</v>
      </c>
      <c r="M342" s="487" t="s">
        <v>125</v>
      </c>
      <c r="N342" s="445" t="s">
        <v>423</v>
      </c>
      <c r="O342" s="445" t="s">
        <v>485</v>
      </c>
      <c r="P342" s="445" t="s">
        <v>561</v>
      </c>
      <c r="Q342" s="445" t="s">
        <v>2650</v>
      </c>
    </row>
    <row r="343" spans="2:17">
      <c r="B343" s="504" t="str">
        <f t="shared" si="16"/>
        <v>Polonaložený</v>
      </c>
      <c r="M343" s="487" t="s">
        <v>126</v>
      </c>
      <c r="N343" s="445" t="s">
        <v>424</v>
      </c>
      <c r="O343" s="445" t="s">
        <v>486</v>
      </c>
      <c r="P343" s="445" t="s">
        <v>2376</v>
      </c>
      <c r="Q343" s="445" t="s">
        <v>2651</v>
      </c>
    </row>
    <row r="344" spans="2:17">
      <c r="B344" s="504" t="str">
        <f t="shared" si="16"/>
        <v>Vložený</v>
      </c>
      <c r="M344" s="487" t="s">
        <v>127</v>
      </c>
      <c r="N344" s="445" t="s">
        <v>425</v>
      </c>
      <c r="O344" s="445" t="s">
        <v>487</v>
      </c>
      <c r="P344" s="445" t="s">
        <v>2377</v>
      </c>
      <c r="Q344" s="445" t="s">
        <v>1781</v>
      </c>
    </row>
    <row r="345" spans="2:17">
      <c r="B345" s="504" t="str">
        <f t="shared" si="16"/>
        <v>Úhel 45°</v>
      </c>
      <c r="M345" s="487" t="s">
        <v>124</v>
      </c>
      <c r="N345" s="445" t="s">
        <v>422</v>
      </c>
      <c r="O345" s="445" t="s">
        <v>484</v>
      </c>
      <c r="P345" s="445" t="s">
        <v>560</v>
      </c>
      <c r="Q345" s="445" t="s">
        <v>2523</v>
      </c>
    </row>
    <row r="346" spans="2:17">
      <c r="B346" s="504" t="str">
        <f t="shared" si="16"/>
        <v>Naložený s opačnou pružinou</v>
      </c>
      <c r="M346" s="487" t="s">
        <v>128</v>
      </c>
      <c r="N346" s="445" t="s">
        <v>128</v>
      </c>
      <c r="O346" s="445" t="s">
        <v>488</v>
      </c>
      <c r="P346" s="445" t="s">
        <v>564</v>
      </c>
      <c r="Q346" s="445" t="s">
        <v>2652</v>
      </c>
    </row>
    <row r="347" spans="2:17">
      <c r="B347" s="504" t="str">
        <f t="shared" si="16"/>
        <v>Vložený s opačnou pružinou</v>
      </c>
      <c r="M347" s="487" t="s">
        <v>129</v>
      </c>
      <c r="N347" s="445" t="s">
        <v>129</v>
      </c>
      <c r="O347" s="445" t="s">
        <v>489</v>
      </c>
      <c r="P347" s="445" t="s">
        <v>2378</v>
      </c>
      <c r="Q347" s="445" t="s">
        <v>2653</v>
      </c>
    </row>
    <row r="348" spans="2:17">
      <c r="B348" s="504" t="str">
        <f t="shared" si="16"/>
        <v>Clip na vrut H2</v>
      </c>
      <c r="M348" s="487" t="s">
        <v>212</v>
      </c>
      <c r="N348" s="445" t="s">
        <v>426</v>
      </c>
      <c r="O348" s="445" t="s">
        <v>490</v>
      </c>
      <c r="P348" s="445" t="s">
        <v>566</v>
      </c>
      <c r="Q348" s="445" t="s">
        <v>2654</v>
      </c>
    </row>
    <row r="349" spans="2:17">
      <c r="B349" s="504" t="str">
        <f t="shared" si="16"/>
        <v>Clip na vrut H4</v>
      </c>
      <c r="M349" s="487" t="s">
        <v>213</v>
      </c>
      <c r="N349" s="445" t="s">
        <v>427</v>
      </c>
      <c r="O349" s="445" t="s">
        <v>491</v>
      </c>
      <c r="P349" s="445" t="s">
        <v>567</v>
      </c>
      <c r="Q349" s="445" t="s">
        <v>2655</v>
      </c>
    </row>
    <row r="350" spans="2:17">
      <c r="B350" s="504" t="str">
        <f t="shared" si="16"/>
        <v>Clip na eurošroub H2</v>
      </c>
      <c r="M350" s="487" t="s">
        <v>214</v>
      </c>
      <c r="N350" s="445" t="s">
        <v>428</v>
      </c>
      <c r="O350" s="445" t="s">
        <v>492</v>
      </c>
      <c r="P350" s="445" t="s">
        <v>568</v>
      </c>
      <c r="Q350" s="445" t="s">
        <v>2656</v>
      </c>
    </row>
    <row r="351" spans="2:17">
      <c r="B351" s="504" t="str">
        <f t="shared" si="16"/>
        <v>Clip na eurošroub H4</v>
      </c>
      <c r="M351" s="487" t="s">
        <v>215</v>
      </c>
      <c r="N351" s="445" t="s">
        <v>429</v>
      </c>
      <c r="O351" s="445" t="s">
        <v>493</v>
      </c>
      <c r="P351" s="445" t="s">
        <v>569</v>
      </c>
      <c r="Q351" s="445" t="s">
        <v>2657</v>
      </c>
    </row>
    <row r="352" spans="2:17">
      <c r="B352" s="504" t="str">
        <f t="shared" si="16"/>
        <v>Slide on na vrut H2</v>
      </c>
      <c r="M352" s="487" t="s">
        <v>216</v>
      </c>
      <c r="N352" s="445" t="s">
        <v>430</v>
      </c>
      <c r="O352" s="445" t="s">
        <v>494</v>
      </c>
      <c r="P352" s="445" t="s">
        <v>570</v>
      </c>
      <c r="Q352" s="445" t="s">
        <v>2658</v>
      </c>
    </row>
    <row r="353" spans="2:17">
      <c r="B353" s="504" t="str">
        <f t="shared" si="16"/>
        <v>Slide on na vrut H4</v>
      </c>
      <c r="M353" s="487" t="s">
        <v>217</v>
      </c>
      <c r="N353" s="445" t="s">
        <v>431</v>
      </c>
      <c r="O353" s="445" t="s">
        <v>495</v>
      </c>
      <c r="P353" s="445" t="s">
        <v>571</v>
      </c>
      <c r="Q353" s="445" t="s">
        <v>2659</v>
      </c>
    </row>
    <row r="354" spans="2:17">
      <c r="B354" s="504" t="str">
        <f t="shared" si="16"/>
        <v>Slide on na eurošroub H2</v>
      </c>
      <c r="M354" s="487" t="s">
        <v>218</v>
      </c>
      <c r="N354" s="445" t="s">
        <v>432</v>
      </c>
      <c r="O354" s="445" t="s">
        <v>496</v>
      </c>
      <c r="P354" s="445" t="s">
        <v>572</v>
      </c>
      <c r="Q354" s="445" t="s">
        <v>2660</v>
      </c>
    </row>
    <row r="355" spans="2:17">
      <c r="B355" s="504" t="str">
        <f t="shared" si="16"/>
        <v>Slide on na eurošroub H4</v>
      </c>
      <c r="M355" s="487" t="s">
        <v>219</v>
      </c>
      <c r="N355" s="445" t="s">
        <v>433</v>
      </c>
      <c r="O355" s="445" t="s">
        <v>497</v>
      </c>
      <c r="P355" s="445" t="s">
        <v>573</v>
      </c>
      <c r="Q355" s="445" t="s">
        <v>2661</v>
      </c>
    </row>
    <row r="356" spans="2:17">
      <c r="B356" s="504" t="str">
        <f t="shared" si="16"/>
        <v>Naložený clip</v>
      </c>
      <c r="M356" s="487" t="s">
        <v>121</v>
      </c>
      <c r="N356" s="445" t="s">
        <v>121</v>
      </c>
      <c r="O356" s="445" t="s">
        <v>481</v>
      </c>
      <c r="P356" s="445" t="s">
        <v>557</v>
      </c>
      <c r="Q356" s="445" t="s">
        <v>2647</v>
      </c>
    </row>
    <row r="357" spans="2:17">
      <c r="B357" s="504" t="str">
        <f t="shared" si="16"/>
        <v>Polonaložený clip</v>
      </c>
      <c r="M357" s="487" t="s">
        <v>122</v>
      </c>
      <c r="N357" s="445" t="s">
        <v>122</v>
      </c>
      <c r="O357" s="445" t="s">
        <v>482</v>
      </c>
      <c r="P357" s="445" t="s">
        <v>2374</v>
      </c>
      <c r="Q357" s="445" t="s">
        <v>2648</v>
      </c>
    </row>
    <row r="358" spans="2:17">
      <c r="B358" s="504" t="str">
        <f t="shared" si="16"/>
        <v>Vložený clip</v>
      </c>
      <c r="M358" s="487" t="s">
        <v>123</v>
      </c>
      <c r="N358" s="445" t="s">
        <v>123</v>
      </c>
      <c r="O358" s="445" t="s">
        <v>483</v>
      </c>
      <c r="P358" s="445" t="s">
        <v>2375</v>
      </c>
      <c r="Q358" s="445" t="s">
        <v>2649</v>
      </c>
    </row>
    <row r="359" spans="2:17">
      <c r="B359" s="504" t="str">
        <f t="shared" ref="B359:B422" si="17">IF($D$1=1,M359,IF($D$1=2,N359,IF($D$1=3,O359,IF($D$1=4,P359,IF($D$1=5,Q359,0)))))</f>
        <v>45° clip</v>
      </c>
      <c r="M359" s="487" t="s">
        <v>10</v>
      </c>
      <c r="N359" s="445" t="s">
        <v>440</v>
      </c>
      <c r="O359" s="445" t="s">
        <v>10</v>
      </c>
      <c r="P359" s="445" t="s">
        <v>2381</v>
      </c>
      <c r="Q359" s="445" t="s">
        <v>2671</v>
      </c>
    </row>
    <row r="360" spans="2:17">
      <c r="B360" s="504" t="str">
        <f t="shared" si="17"/>
        <v xml:space="preserve">StrongHinges Clip na eurošroub H0 </v>
      </c>
      <c r="M360" s="487" t="s">
        <v>3679</v>
      </c>
      <c r="N360" s="445" t="s">
        <v>3680</v>
      </c>
      <c r="O360" s="445" t="s">
        <v>3681</v>
      </c>
      <c r="P360" s="445" t="s">
        <v>3682</v>
      </c>
      <c r="Q360" s="445" t="s">
        <v>3683</v>
      </c>
    </row>
    <row r="361" spans="2:17">
      <c r="B361" s="504" t="str">
        <f t="shared" si="17"/>
        <v>StrongHinges Clip na vrut H0</v>
      </c>
      <c r="M361" s="487" t="s">
        <v>3684</v>
      </c>
      <c r="N361" s="445" t="s">
        <v>3685</v>
      </c>
      <c r="O361" s="445" t="s">
        <v>3686</v>
      </c>
      <c r="P361" s="445" t="s">
        <v>3687</v>
      </c>
      <c r="Q361" s="445" t="s">
        <v>3688</v>
      </c>
    </row>
    <row r="362" spans="2:17">
      <c r="B362" s="504" t="str">
        <f t="shared" si="17"/>
        <v>StrongHinges Clip na eurošroub H2</v>
      </c>
      <c r="M362" s="487" t="s">
        <v>3689</v>
      </c>
      <c r="N362" s="445" t="s">
        <v>3690</v>
      </c>
      <c r="O362" s="445" t="s">
        <v>3691</v>
      </c>
      <c r="P362" s="445" t="s">
        <v>3692</v>
      </c>
      <c r="Q362" s="445" t="s">
        <v>3693</v>
      </c>
    </row>
    <row r="363" spans="2:17">
      <c r="B363" s="504" t="str">
        <f t="shared" si="17"/>
        <v>StrongHinges Clip na vrut H2</v>
      </c>
      <c r="M363" s="487" t="s">
        <v>3694</v>
      </c>
      <c r="N363" s="445" t="s">
        <v>3695</v>
      </c>
      <c r="O363" s="445" t="s">
        <v>3696</v>
      </c>
      <c r="P363" s="445" t="s">
        <v>3697</v>
      </c>
      <c r="Q363" s="445" t="s">
        <v>3698</v>
      </c>
    </row>
    <row r="364" spans="2:17">
      <c r="B364" s="504" t="str">
        <f t="shared" si="17"/>
        <v>Naložený clip</v>
      </c>
      <c r="M364" s="487" t="s">
        <v>121</v>
      </c>
      <c r="N364" s="445" t="s">
        <v>121</v>
      </c>
      <c r="O364" s="445" t="s">
        <v>481</v>
      </c>
      <c r="P364" s="445" t="s">
        <v>557</v>
      </c>
      <c r="Q364" s="445" t="s">
        <v>2647</v>
      </c>
    </row>
    <row r="365" spans="2:17">
      <c r="B365" s="504" t="str">
        <f t="shared" si="17"/>
        <v>Naložený clip</v>
      </c>
      <c r="M365" s="487" t="s">
        <v>121</v>
      </c>
      <c r="N365" s="445" t="s">
        <v>121</v>
      </c>
      <c r="O365" s="445" t="s">
        <v>481</v>
      </c>
      <c r="P365" s="445" t="s">
        <v>557</v>
      </c>
      <c r="Q365" s="445" t="s">
        <v>2647</v>
      </c>
    </row>
    <row r="366" spans="2:17">
      <c r="B366" s="504" t="str">
        <f t="shared" si="17"/>
        <v>Polonaložený clip</v>
      </c>
      <c r="M366" s="487" t="s">
        <v>122</v>
      </c>
      <c r="N366" s="445" t="s">
        <v>122</v>
      </c>
      <c r="O366" s="445" t="s">
        <v>482</v>
      </c>
      <c r="P366" s="445" t="s">
        <v>2374</v>
      </c>
      <c r="Q366" s="445" t="s">
        <v>2648</v>
      </c>
    </row>
    <row r="367" spans="2:17">
      <c r="B367" s="504" t="str">
        <f t="shared" si="17"/>
        <v>Vložený clip</v>
      </c>
      <c r="M367" s="487" t="s">
        <v>123</v>
      </c>
      <c r="N367" s="445" t="s">
        <v>123</v>
      </c>
      <c r="O367" s="445" t="s">
        <v>483</v>
      </c>
      <c r="P367" s="445" t="s">
        <v>2375</v>
      </c>
      <c r="Q367" s="445" t="s">
        <v>2649</v>
      </c>
    </row>
    <row r="368" spans="2:17">
      <c r="B368" s="504" t="str">
        <f t="shared" si="17"/>
        <v>45° clip</v>
      </c>
      <c r="M368" s="487" t="s">
        <v>10</v>
      </c>
      <c r="N368" s="445" t="s">
        <v>440</v>
      </c>
      <c r="O368" s="445" t="s">
        <v>10</v>
      </c>
      <c r="P368" s="445" t="s">
        <v>2381</v>
      </c>
      <c r="Q368" s="445" t="s">
        <v>2671</v>
      </c>
    </row>
    <row r="369" spans="2:17">
      <c r="B369" s="504" t="str">
        <f t="shared" si="17"/>
        <v xml:space="preserve">Clip na eurošroub H0 </v>
      </c>
      <c r="M369" s="487" t="s">
        <v>211</v>
      </c>
      <c r="N369" s="445" t="s">
        <v>441</v>
      </c>
      <c r="O369" s="445" t="s">
        <v>506</v>
      </c>
      <c r="P369" s="445" t="s">
        <v>582</v>
      </c>
      <c r="Q369" s="445" t="s">
        <v>2672</v>
      </c>
    </row>
    <row r="370" spans="2:17">
      <c r="B370" s="504" t="str">
        <f t="shared" si="17"/>
        <v>Clip na vrut H0</v>
      </c>
      <c r="M370" s="487" t="s">
        <v>210</v>
      </c>
      <c r="N370" s="445" t="s">
        <v>442</v>
      </c>
      <c r="O370" s="445" t="s">
        <v>507</v>
      </c>
      <c r="P370" s="445" t="s">
        <v>583</v>
      </c>
      <c r="Q370" s="445" t="s">
        <v>2673</v>
      </c>
    </row>
    <row r="371" spans="2:17">
      <c r="B371" s="504" t="str">
        <f t="shared" si="17"/>
        <v>Clip na eurošroub H2</v>
      </c>
      <c r="M371" s="487" t="s">
        <v>214</v>
      </c>
      <c r="N371" s="445" t="s">
        <v>428</v>
      </c>
      <c r="O371" s="445" t="s">
        <v>492</v>
      </c>
      <c r="P371" s="445" t="s">
        <v>568</v>
      </c>
      <c r="Q371" s="445" t="s">
        <v>2656</v>
      </c>
    </row>
    <row r="372" spans="2:17">
      <c r="B372" s="504" t="str">
        <f t="shared" si="17"/>
        <v>Sensys naložený tlumený</v>
      </c>
      <c r="M372" s="487" t="s">
        <v>1028</v>
      </c>
      <c r="N372" s="445" t="s">
        <v>1229</v>
      </c>
      <c r="O372" s="445" t="s">
        <v>1230</v>
      </c>
      <c r="P372" s="445" t="s">
        <v>1231</v>
      </c>
      <c r="Q372" s="445" t="s">
        <v>2713</v>
      </c>
    </row>
    <row r="373" spans="2:17">
      <c r="B373" s="504" t="str">
        <f t="shared" si="17"/>
        <v>Sensys polonaložený tlumený</v>
      </c>
      <c r="M373" s="487" t="s">
        <v>1029</v>
      </c>
      <c r="N373" s="445" t="s">
        <v>1232</v>
      </c>
      <c r="O373" s="445" t="s">
        <v>1233</v>
      </c>
      <c r="P373" s="445" t="s">
        <v>2399</v>
      </c>
      <c r="Q373" s="445" t="s">
        <v>2714</v>
      </c>
    </row>
    <row r="374" spans="2:17">
      <c r="B374" s="504" t="str">
        <f t="shared" si="17"/>
        <v>Sensys vložený tlumený</v>
      </c>
      <c r="M374" s="487" t="s">
        <v>1030</v>
      </c>
      <c r="N374" s="445" t="s">
        <v>1235</v>
      </c>
      <c r="O374" s="445" t="s">
        <v>1236</v>
      </c>
      <c r="P374" s="445" t="s">
        <v>2400</v>
      </c>
      <c r="Q374" s="445" t="s">
        <v>2715</v>
      </c>
    </row>
    <row r="375" spans="2:17">
      <c r="B375" s="504" t="str">
        <f t="shared" si="17"/>
        <v>Sensys příložný tlumený</v>
      </c>
      <c r="M375" s="487" t="s">
        <v>1032</v>
      </c>
      <c r="N375" s="445" t="s">
        <v>1238</v>
      </c>
      <c r="O375" s="445" t="s">
        <v>1239</v>
      </c>
      <c r="P375" s="445" t="s">
        <v>1240</v>
      </c>
      <c r="Q375" s="445" t="s">
        <v>2716</v>
      </c>
    </row>
    <row r="376" spans="2:17">
      <c r="B376" s="504" t="str">
        <f t="shared" si="17"/>
        <v>Sensys naložený netlumený</v>
      </c>
      <c r="M376" s="487" t="s">
        <v>1034</v>
      </c>
      <c r="N376" s="445" t="s">
        <v>1241</v>
      </c>
      <c r="O376" s="445" t="s">
        <v>1242</v>
      </c>
      <c r="P376" s="445" t="s">
        <v>1243</v>
      </c>
      <c r="Q376" s="445" t="s">
        <v>2717</v>
      </c>
    </row>
    <row r="377" spans="2:17">
      <c r="B377" s="504" t="str">
        <f t="shared" si="17"/>
        <v>Intermat naložený</v>
      </c>
      <c r="M377" s="487" t="s">
        <v>1037</v>
      </c>
      <c r="N377" s="445" t="s">
        <v>1037</v>
      </c>
      <c r="O377" s="445" t="s">
        <v>1244</v>
      </c>
      <c r="P377" s="445" t="s">
        <v>1245</v>
      </c>
      <c r="Q377" s="445" t="s">
        <v>2718</v>
      </c>
    </row>
    <row r="378" spans="2:17">
      <c r="B378" s="504" t="str">
        <f t="shared" si="17"/>
        <v>Intermat naložený 125°</v>
      </c>
      <c r="M378" s="487" t="s">
        <v>1038</v>
      </c>
      <c r="N378" s="445" t="s">
        <v>1038</v>
      </c>
      <c r="O378" s="445" t="s">
        <v>1246</v>
      </c>
      <c r="P378" s="445" t="s">
        <v>1247</v>
      </c>
      <c r="Q378" s="445" t="s">
        <v>2719</v>
      </c>
    </row>
    <row r="379" spans="2:17">
      <c r="B379" s="504" t="str">
        <f t="shared" si="17"/>
        <v>Intermat polonaložený</v>
      </c>
      <c r="M379" s="487" t="s">
        <v>1039</v>
      </c>
      <c r="N379" s="445" t="s">
        <v>1039</v>
      </c>
      <c r="O379" s="445" t="s">
        <v>1248</v>
      </c>
      <c r="P379" s="445" t="s">
        <v>2401</v>
      </c>
      <c r="Q379" s="445" t="s">
        <v>2720</v>
      </c>
    </row>
    <row r="380" spans="2:17">
      <c r="B380" s="504" t="str">
        <f t="shared" si="17"/>
        <v>Intermat vložený</v>
      </c>
      <c r="M380" s="487" t="s">
        <v>1040</v>
      </c>
      <c r="N380" s="445" t="s">
        <v>1040</v>
      </c>
      <c r="O380" s="445" t="s">
        <v>1250</v>
      </c>
      <c r="P380" s="445" t="s">
        <v>2402</v>
      </c>
      <c r="Q380" s="445" t="s">
        <v>2563</v>
      </c>
    </row>
    <row r="381" spans="2:17">
      <c r="B381" s="504" t="str">
        <f t="shared" si="17"/>
        <v>Intermat příložný</v>
      </c>
      <c r="M381" s="487" t="s">
        <v>1046</v>
      </c>
      <c r="N381" s="445" t="s">
        <v>1252</v>
      </c>
      <c r="O381" s="445" t="s">
        <v>1253</v>
      </c>
      <c r="P381" s="445" t="s">
        <v>1254</v>
      </c>
      <c r="Q381" s="445" t="s">
        <v>2721</v>
      </c>
    </row>
    <row r="382" spans="2:17">
      <c r="B382" s="504" t="str">
        <f t="shared" si="17"/>
        <v>Sensys naložený bez tlumení</v>
      </c>
      <c r="M382" s="487" t="s">
        <v>1073</v>
      </c>
      <c r="N382" s="445" t="s">
        <v>1255</v>
      </c>
      <c r="O382" s="445" t="s">
        <v>1242</v>
      </c>
      <c r="P382" s="445" t="s">
        <v>1243</v>
      </c>
      <c r="Q382" s="445" t="s">
        <v>2722</v>
      </c>
    </row>
    <row r="383" spans="2:17">
      <c r="B383" s="504" t="str">
        <f t="shared" si="17"/>
        <v>Sensys vložený bez tlumení</v>
      </c>
      <c r="M383" s="487" t="s">
        <v>1074</v>
      </c>
      <c r="N383" s="445" t="s">
        <v>1256</v>
      </c>
      <c r="O383" s="445" t="s">
        <v>1257</v>
      </c>
      <c r="P383" s="445" t="s">
        <v>2403</v>
      </c>
      <c r="Q383" s="445" t="s">
        <v>2723</v>
      </c>
    </row>
    <row r="384" spans="2:17">
      <c r="B384" s="504" t="str">
        <f t="shared" si="17"/>
        <v>Sensys naložený tlumený</v>
      </c>
      <c r="M384" s="487" t="s">
        <v>1028</v>
      </c>
      <c r="N384" s="445" t="s">
        <v>1229</v>
      </c>
      <c r="O384" s="445" t="s">
        <v>1230</v>
      </c>
      <c r="P384" s="445" t="s">
        <v>1231</v>
      </c>
      <c r="Q384" s="445" t="s">
        <v>2713</v>
      </c>
    </row>
    <row r="385" spans="2:17">
      <c r="B385" s="504" t="str">
        <f t="shared" si="17"/>
        <v>Sensys vložený tlumený</v>
      </c>
      <c r="M385" s="487" t="s">
        <v>1030</v>
      </c>
      <c r="N385" s="445" t="s">
        <v>1235</v>
      </c>
      <c r="O385" s="445" t="s">
        <v>1236</v>
      </c>
      <c r="P385" s="445" t="s">
        <v>2400</v>
      </c>
      <c r="Q385" s="445" t="s">
        <v>2715</v>
      </c>
    </row>
    <row r="386" spans="2:17">
      <c r="B386" s="504" t="str">
        <f t="shared" si="17"/>
        <v>Intermat naložený</v>
      </c>
      <c r="M386" s="487" t="s">
        <v>1037</v>
      </c>
      <c r="N386" s="445" t="s">
        <v>1037</v>
      </c>
      <c r="O386" s="445" t="s">
        <v>1244</v>
      </c>
      <c r="P386" s="445" t="s">
        <v>1245</v>
      </c>
      <c r="Q386" s="445" t="s">
        <v>2718</v>
      </c>
    </row>
    <row r="387" spans="2:17">
      <c r="B387" s="504" t="str">
        <f t="shared" si="17"/>
        <v>Intermat vložený</v>
      </c>
      <c r="M387" s="487" t="s">
        <v>1040</v>
      </c>
      <c r="N387" s="445" t="s">
        <v>1040</v>
      </c>
      <c r="O387" s="445" t="s">
        <v>1250</v>
      </c>
      <c r="P387" s="445" t="s">
        <v>2402</v>
      </c>
      <c r="Q387" s="445" t="s">
        <v>2563</v>
      </c>
    </row>
    <row r="388" spans="2:17">
      <c r="B388" s="504" t="str">
        <f t="shared" si="17"/>
        <v>podložka na vrut</v>
      </c>
      <c r="M388" s="487" t="s">
        <v>1185</v>
      </c>
      <c r="N388" s="445" t="s">
        <v>1185</v>
      </c>
      <c r="O388" s="445" t="s">
        <v>1259</v>
      </c>
      <c r="P388" s="445" t="s">
        <v>1260</v>
      </c>
      <c r="Q388" s="445" t="s">
        <v>2724</v>
      </c>
    </row>
    <row r="389" spans="2:17">
      <c r="B389" s="504" t="str">
        <f t="shared" si="17"/>
        <v>podložka na Eurovrut</v>
      </c>
      <c r="M389" s="487" t="s">
        <v>1053</v>
      </c>
      <c r="N389" s="445" t="s">
        <v>1053</v>
      </c>
      <c r="O389" s="445" t="s">
        <v>1261</v>
      </c>
      <c r="P389" s="445" t="s">
        <v>1262</v>
      </c>
      <c r="Q389" s="445" t="s">
        <v>2725</v>
      </c>
    </row>
    <row r="390" spans="2:17">
      <c r="B390" s="504" t="str">
        <f t="shared" si="17"/>
        <v>podložka na rozpěrnou hmoždinku</v>
      </c>
      <c r="M390" s="487" t="s">
        <v>1054</v>
      </c>
      <c r="N390" s="445" t="s">
        <v>1263</v>
      </c>
      <c r="O390" s="445" t="s">
        <v>1264</v>
      </c>
      <c r="P390" s="445" t="s">
        <v>1265</v>
      </c>
      <c r="Q390" s="445" t="s">
        <v>2726</v>
      </c>
    </row>
    <row r="391" spans="2:17">
      <c r="B391" s="504" t="str">
        <f t="shared" si="17"/>
        <v>naložený clip</v>
      </c>
      <c r="M391" s="487" t="s">
        <v>1186</v>
      </c>
      <c r="N391" s="445" t="s">
        <v>121</v>
      </c>
      <c r="O391" s="445" t="s">
        <v>481</v>
      </c>
      <c r="P391" s="445" t="s">
        <v>557</v>
      </c>
      <c r="Q391" s="445" t="s">
        <v>2647</v>
      </c>
    </row>
    <row r="392" spans="2:17">
      <c r="B392" s="504" t="str">
        <f t="shared" si="17"/>
        <v>polonaložený clip</v>
      </c>
      <c r="M392" s="487" t="s">
        <v>1187</v>
      </c>
      <c r="N392" s="445" t="s">
        <v>122</v>
      </c>
      <c r="O392" s="445" t="s">
        <v>482</v>
      </c>
      <c r="P392" s="445" t="s">
        <v>2374</v>
      </c>
      <c r="Q392" s="445" t="s">
        <v>2648</v>
      </c>
    </row>
    <row r="393" spans="2:17">
      <c r="B393" s="504" t="str">
        <f t="shared" si="17"/>
        <v>Vložený clip</v>
      </c>
      <c r="M393" s="487" t="s">
        <v>123</v>
      </c>
      <c r="N393" s="445" t="s">
        <v>123</v>
      </c>
      <c r="O393" s="445" t="s">
        <v>483</v>
      </c>
      <c r="P393" s="445" t="s">
        <v>2375</v>
      </c>
      <c r="Q393" s="445" t="s">
        <v>2649</v>
      </c>
    </row>
    <row r="394" spans="2:17">
      <c r="B394" s="504" t="str">
        <f t="shared" si="17"/>
        <v>naložený s tlumením clip 110°</v>
      </c>
      <c r="M394" s="487" t="s">
        <v>1058</v>
      </c>
      <c r="N394" s="445" t="s">
        <v>1266</v>
      </c>
      <c r="O394" s="445" t="s">
        <v>1267</v>
      </c>
      <c r="P394" s="445" t="s">
        <v>1539</v>
      </c>
      <c r="Q394" s="445" t="s">
        <v>2727</v>
      </c>
    </row>
    <row r="395" spans="2:17">
      <c r="B395" s="504" t="str">
        <f t="shared" si="17"/>
        <v>polonaložený s tlumením clip 110°</v>
      </c>
      <c r="M395" s="487" t="s">
        <v>1059</v>
      </c>
      <c r="N395" s="445" t="s">
        <v>1268</v>
      </c>
      <c r="O395" s="445" t="s">
        <v>1269</v>
      </c>
      <c r="P395" s="445" t="s">
        <v>2404</v>
      </c>
      <c r="Q395" s="445" t="s">
        <v>2728</v>
      </c>
    </row>
    <row r="396" spans="2:17">
      <c r="B396" s="504" t="str">
        <f t="shared" si="17"/>
        <v>vložený s tlumením clip 110°</v>
      </c>
      <c r="M396" s="487" t="s">
        <v>1060</v>
      </c>
      <c r="N396" s="445" t="s">
        <v>1270</v>
      </c>
      <c r="O396" s="445" t="s">
        <v>1271</v>
      </c>
      <c r="P396" s="445" t="s">
        <v>2405</v>
      </c>
      <c r="Q396" s="445" t="s">
        <v>2729</v>
      </c>
    </row>
    <row r="397" spans="2:17">
      <c r="B397" s="504" t="str">
        <f t="shared" si="17"/>
        <v>naložený bez tlumení clip 110°</v>
      </c>
      <c r="M397" s="487" t="s">
        <v>1061</v>
      </c>
      <c r="N397" s="445" t="s">
        <v>1272</v>
      </c>
      <c r="O397" s="445" t="s">
        <v>1273</v>
      </c>
      <c r="P397" s="445" t="s">
        <v>1541</v>
      </c>
      <c r="Q397" s="445" t="s">
        <v>2730</v>
      </c>
    </row>
    <row r="398" spans="2:17">
      <c r="B398" s="504" t="str">
        <f t="shared" si="17"/>
        <v>polonaložený bez tlumení clip 110°</v>
      </c>
      <c r="M398" s="487" t="s">
        <v>1062</v>
      </c>
      <c r="N398" s="445" t="s">
        <v>1274</v>
      </c>
      <c r="O398" s="445" t="s">
        <v>1275</v>
      </c>
      <c r="P398" s="445" t="s">
        <v>2406</v>
      </c>
      <c r="Q398" s="445" t="s">
        <v>2731</v>
      </c>
    </row>
    <row r="399" spans="2:17">
      <c r="B399" s="504" t="str">
        <f t="shared" si="17"/>
        <v>vložený bez tlumení clip 110°</v>
      </c>
      <c r="M399" s="487" t="s">
        <v>1063</v>
      </c>
      <c r="N399" s="445" t="s">
        <v>1276</v>
      </c>
      <c r="O399" s="445" t="s">
        <v>1277</v>
      </c>
      <c r="P399" s="445" t="s">
        <v>1562</v>
      </c>
      <c r="Q399" s="445" t="s">
        <v>2732</v>
      </c>
    </row>
    <row r="400" spans="2:17">
      <c r="B400" s="504" t="str">
        <f t="shared" si="17"/>
        <v>naložený TIP-ON clip 110°</v>
      </c>
      <c r="M400" s="487" t="s">
        <v>1064</v>
      </c>
      <c r="N400" s="445" t="s">
        <v>1064</v>
      </c>
      <c r="O400" s="445" t="s">
        <v>1278</v>
      </c>
      <c r="P400" s="445" t="s">
        <v>1543</v>
      </c>
      <c r="Q400" s="445" t="s">
        <v>2733</v>
      </c>
    </row>
    <row r="401" spans="2:17">
      <c r="B401" s="504" t="str">
        <f t="shared" si="17"/>
        <v>polonaložený TIP-ON clip 110°</v>
      </c>
      <c r="M401" s="487" t="s">
        <v>1065</v>
      </c>
      <c r="N401" s="445" t="s">
        <v>1065</v>
      </c>
      <c r="O401" s="445" t="s">
        <v>1279</v>
      </c>
      <c r="P401" s="445" t="s">
        <v>2407</v>
      </c>
      <c r="Q401" s="445" t="s">
        <v>2734</v>
      </c>
    </row>
    <row r="402" spans="2:17">
      <c r="B402" s="504" t="str">
        <f t="shared" si="17"/>
        <v>vložený TIP-ON clip 110°</v>
      </c>
      <c r="M402" s="487" t="s">
        <v>1066</v>
      </c>
      <c r="N402" s="445" t="s">
        <v>1066</v>
      </c>
      <c r="O402" s="445" t="s">
        <v>1280</v>
      </c>
      <c r="P402" s="445" t="s">
        <v>2408</v>
      </c>
      <c r="Q402" s="445" t="s">
        <v>2735</v>
      </c>
    </row>
    <row r="403" spans="2:17">
      <c r="B403" s="504" t="str">
        <f t="shared" si="17"/>
        <v>naložený clip</v>
      </c>
      <c r="M403" s="487" t="s">
        <v>1186</v>
      </c>
      <c r="N403" s="445" t="s">
        <v>121</v>
      </c>
      <c r="O403" s="445" t="s">
        <v>481</v>
      </c>
      <c r="P403" s="445" t="s">
        <v>557</v>
      </c>
      <c r="Q403" s="445" t="s">
        <v>2647</v>
      </c>
    </row>
    <row r="404" spans="2:17">
      <c r="B404" s="504" t="str">
        <f t="shared" si="17"/>
        <v>polonaložený clip</v>
      </c>
      <c r="M404" s="487" t="s">
        <v>1187</v>
      </c>
      <c r="N404" s="445" t="s">
        <v>122</v>
      </c>
      <c r="O404" s="445" t="s">
        <v>482</v>
      </c>
      <c r="P404" s="445" t="s">
        <v>2374</v>
      </c>
      <c r="Q404" s="445" t="s">
        <v>2648</v>
      </c>
    </row>
    <row r="405" spans="2:17">
      <c r="B405" s="504" t="str">
        <f t="shared" si="17"/>
        <v>Vložený clip</v>
      </c>
      <c r="M405" s="487" t="s">
        <v>123</v>
      </c>
      <c r="N405" s="445" t="s">
        <v>123</v>
      </c>
      <c r="O405" s="445" t="s">
        <v>483</v>
      </c>
      <c r="P405" s="445" t="s">
        <v>2375</v>
      </c>
      <c r="Q405" s="445" t="s">
        <v>2649</v>
      </c>
    </row>
    <row r="406" spans="2:17">
      <c r="B406" s="504" t="str">
        <f t="shared" si="17"/>
        <v>naložený s tlumením clip 95°</v>
      </c>
      <c r="M406" s="487" t="s">
        <v>1068</v>
      </c>
      <c r="N406" s="445" t="s">
        <v>1281</v>
      </c>
      <c r="O406" s="445" t="s">
        <v>1282</v>
      </c>
      <c r="P406" s="445" t="s">
        <v>1545</v>
      </c>
      <c r="Q406" s="445" t="s">
        <v>2736</v>
      </c>
    </row>
    <row r="407" spans="2:17">
      <c r="B407" s="504" t="str">
        <f t="shared" si="17"/>
        <v>polonaložený s tlumením clip 95°</v>
      </c>
      <c r="M407" s="487" t="s">
        <v>1069</v>
      </c>
      <c r="N407" s="445" t="s">
        <v>1283</v>
      </c>
      <c r="O407" s="445" t="s">
        <v>1284</v>
      </c>
      <c r="P407" s="445" t="s">
        <v>2409</v>
      </c>
      <c r="Q407" s="445" t="s">
        <v>2737</v>
      </c>
    </row>
    <row r="408" spans="2:17">
      <c r="B408" s="504" t="str">
        <f t="shared" si="17"/>
        <v>vložený s tlumením clip 95°</v>
      </c>
      <c r="M408" s="487" t="s">
        <v>1070</v>
      </c>
      <c r="N408" s="445" t="s">
        <v>1285</v>
      </c>
      <c r="O408" s="445" t="s">
        <v>1286</v>
      </c>
      <c r="P408" s="445" t="s">
        <v>2410</v>
      </c>
      <c r="Q408" s="445" t="s">
        <v>2738</v>
      </c>
    </row>
    <row r="409" spans="2:17">
      <c r="B409" s="504" t="str">
        <f t="shared" si="17"/>
        <v>naložený TIP-ON clip 95°</v>
      </c>
      <c r="M409" s="487" t="s">
        <v>1071</v>
      </c>
      <c r="N409" s="445" t="s">
        <v>1071</v>
      </c>
      <c r="O409" s="445" t="s">
        <v>1287</v>
      </c>
      <c r="P409" s="445" t="s">
        <v>1547</v>
      </c>
      <c r="Q409" s="445" t="s">
        <v>2739</v>
      </c>
    </row>
    <row r="410" spans="2:17">
      <c r="B410" s="504" t="str">
        <f t="shared" si="17"/>
        <v>naložený TIP-ON clip 120°</v>
      </c>
      <c r="M410" s="487" t="s">
        <v>1072</v>
      </c>
      <c r="N410" s="445" t="s">
        <v>1072</v>
      </c>
      <c r="O410" s="445" t="s">
        <v>1288</v>
      </c>
      <c r="P410" s="445" t="s">
        <v>1548</v>
      </c>
      <c r="Q410" s="445" t="s">
        <v>2740</v>
      </c>
    </row>
    <row r="411" spans="2:17">
      <c r="B411" s="504" t="str">
        <f t="shared" si="17"/>
        <v>Clip na eurošroub</v>
      </c>
      <c r="M411" s="487" t="s">
        <v>208</v>
      </c>
      <c r="N411" s="445" t="s">
        <v>437</v>
      </c>
      <c r="O411" s="445" t="s">
        <v>503</v>
      </c>
      <c r="P411" s="445" t="s">
        <v>579</v>
      </c>
      <c r="Q411" s="445" t="s">
        <v>2669</v>
      </c>
    </row>
    <row r="412" spans="2:17">
      <c r="B412" s="504" t="str">
        <f t="shared" si="17"/>
        <v>Clip na vrut</v>
      </c>
      <c r="M412" s="487" t="s">
        <v>207</v>
      </c>
      <c r="N412" s="445" t="s">
        <v>438</v>
      </c>
      <c r="O412" s="445" t="s">
        <v>504</v>
      </c>
      <c r="P412" s="445" t="s">
        <v>580</v>
      </c>
      <c r="Q412" s="445" t="s">
        <v>2670</v>
      </c>
    </row>
    <row r="413" spans="2:17">
      <c r="B413" s="504" t="str">
        <f t="shared" si="17"/>
        <v xml:space="preserve">Zvýšená o 6 mm </v>
      </c>
      <c r="M413" s="487" t="s">
        <v>209</v>
      </c>
      <c r="N413" s="445" t="s">
        <v>439</v>
      </c>
      <c r="O413" s="445" t="s">
        <v>2460</v>
      </c>
      <c r="P413" s="445" t="s">
        <v>581</v>
      </c>
      <c r="Q413" s="445" t="s">
        <v>1801</v>
      </c>
    </row>
    <row r="414" spans="2:17">
      <c r="B414" s="504" t="str">
        <f t="shared" si="17"/>
        <v>naložený k nasunutí</v>
      </c>
      <c r="M414" s="445" t="s">
        <v>1163</v>
      </c>
      <c r="N414" s="445" t="s">
        <v>1289</v>
      </c>
      <c r="O414" s="445" t="s">
        <v>1290</v>
      </c>
      <c r="P414" s="445" t="s">
        <v>2411</v>
      </c>
      <c r="Q414" s="445" t="s">
        <v>2741</v>
      </c>
    </row>
    <row r="415" spans="2:17">
      <c r="B415" s="504" t="str">
        <f t="shared" si="17"/>
        <v>polonaložený k nasunutí</v>
      </c>
      <c r="M415" s="445" t="s">
        <v>1164</v>
      </c>
      <c r="N415" s="445" t="s">
        <v>1292</v>
      </c>
      <c r="O415" s="445" t="s">
        <v>1293</v>
      </c>
      <c r="P415" s="445" t="s">
        <v>2412</v>
      </c>
      <c r="Q415" s="445" t="s">
        <v>2742</v>
      </c>
    </row>
    <row r="416" spans="2:17">
      <c r="B416" s="504" t="str">
        <f t="shared" si="17"/>
        <v>vložený k nasunutí</v>
      </c>
      <c r="M416" s="445" t="s">
        <v>1165</v>
      </c>
      <c r="N416" s="445" t="s">
        <v>1295</v>
      </c>
      <c r="O416" s="445" t="s">
        <v>1296</v>
      </c>
      <c r="P416" s="445" t="s">
        <v>2413</v>
      </c>
      <c r="Q416" s="445" t="s">
        <v>2743</v>
      </c>
    </row>
    <row r="417" spans="2:17">
      <c r="B417" s="504" t="str">
        <f t="shared" si="17"/>
        <v>STRONG 30N bílý Automatický</v>
      </c>
      <c r="M417" s="445" t="s">
        <v>1080</v>
      </c>
      <c r="N417" s="445" t="s">
        <v>1298</v>
      </c>
      <c r="O417" s="445" t="s">
        <v>1299</v>
      </c>
      <c r="P417" s="445" t="s">
        <v>1300</v>
      </c>
      <c r="Q417" s="445" t="s">
        <v>1928</v>
      </c>
    </row>
    <row r="418" spans="2:17">
      <c r="B418" s="504" t="str">
        <f t="shared" si="17"/>
        <v>STRONG 60N bílý Automatický</v>
      </c>
      <c r="M418" s="445" t="s">
        <v>1082</v>
      </c>
      <c r="N418" s="445" t="s">
        <v>1301</v>
      </c>
      <c r="O418" s="445" t="s">
        <v>1302</v>
      </c>
      <c r="P418" s="445" t="s">
        <v>1303</v>
      </c>
      <c r="Q418" s="445" t="s">
        <v>1929</v>
      </c>
    </row>
    <row r="419" spans="2:17">
      <c r="B419" s="504" t="str">
        <f t="shared" si="17"/>
        <v>STRONG 80N bílý Automatický</v>
      </c>
      <c r="M419" s="445" t="s">
        <v>1084</v>
      </c>
      <c r="N419" s="445" t="s">
        <v>1304</v>
      </c>
      <c r="O419" s="445" t="s">
        <v>1305</v>
      </c>
      <c r="P419" s="445" t="s">
        <v>1306</v>
      </c>
      <c r="Q419" s="445" t="s">
        <v>1930</v>
      </c>
    </row>
    <row r="420" spans="2:17">
      <c r="B420" s="504" t="str">
        <f t="shared" si="17"/>
        <v>STRONG 100N bílý Automatický</v>
      </c>
      <c r="M420" s="445" t="s">
        <v>1086</v>
      </c>
      <c r="N420" s="445" t="s">
        <v>1307</v>
      </c>
      <c r="O420" s="445" t="s">
        <v>1308</v>
      </c>
      <c r="P420" s="445" t="s">
        <v>1309</v>
      </c>
      <c r="Q420" s="445" t="s">
        <v>1931</v>
      </c>
    </row>
    <row r="421" spans="2:17">
      <c r="B421" s="504" t="str">
        <f t="shared" si="17"/>
        <v>STRONG 120N bílý Automatický</v>
      </c>
      <c r="M421" s="445" t="s">
        <v>1088</v>
      </c>
      <c r="N421" s="445" t="s">
        <v>1310</v>
      </c>
      <c r="O421" s="445" t="s">
        <v>1311</v>
      </c>
      <c r="P421" s="445" t="s">
        <v>1312</v>
      </c>
      <c r="Q421" s="445" t="s">
        <v>1932</v>
      </c>
    </row>
    <row r="422" spans="2:17">
      <c r="B422" s="504" t="str">
        <f t="shared" si="17"/>
        <v>STRONG 60N bílý Polohovací</v>
      </c>
      <c r="M422" s="445" t="s">
        <v>1090</v>
      </c>
      <c r="N422" s="445" t="s">
        <v>1313</v>
      </c>
      <c r="O422" s="445" t="s">
        <v>1314</v>
      </c>
      <c r="P422" s="445" t="s">
        <v>1315</v>
      </c>
      <c r="Q422" s="445" t="s">
        <v>2744</v>
      </c>
    </row>
    <row r="423" spans="2:17">
      <c r="B423" s="504" t="str">
        <f t="shared" ref="B423:B486" si="18">IF($D$1=1,M423,IF($D$1=2,N423,IF($D$1=3,O423,IF($D$1=4,P423,IF($D$1=5,Q423,0)))))</f>
        <v>STRONG 80N bílý Polohovací</v>
      </c>
      <c r="M423" s="445" t="s">
        <v>1092</v>
      </c>
      <c r="N423" s="445" t="s">
        <v>1316</v>
      </c>
      <c r="O423" s="445" t="s">
        <v>1317</v>
      </c>
      <c r="P423" s="445" t="s">
        <v>1318</v>
      </c>
      <c r="Q423" s="445" t="s">
        <v>2745</v>
      </c>
    </row>
    <row r="424" spans="2:17">
      <c r="B424" s="504" t="str">
        <f t="shared" si="18"/>
        <v>STRONG 100N bílý Polohovací</v>
      </c>
      <c r="M424" s="445" t="s">
        <v>1094</v>
      </c>
      <c r="N424" s="445" t="s">
        <v>1319</v>
      </c>
      <c r="O424" s="445" t="s">
        <v>1320</v>
      </c>
      <c r="P424" s="445" t="s">
        <v>1321</v>
      </c>
      <c r="Q424" s="445" t="s">
        <v>2746</v>
      </c>
    </row>
    <row r="425" spans="2:17">
      <c r="B425" s="504" t="str">
        <f t="shared" si="18"/>
        <v>STRONG 120N bílý Polohovací</v>
      </c>
      <c r="M425" s="445" t="s">
        <v>1096</v>
      </c>
      <c r="N425" s="445" t="s">
        <v>1322</v>
      </c>
      <c r="O425" s="445" t="s">
        <v>1323</v>
      </c>
      <c r="P425" s="445" t="s">
        <v>1324</v>
      </c>
      <c r="Q425" s="445" t="s">
        <v>2747</v>
      </c>
    </row>
    <row r="426" spans="2:17">
      <c r="B426" s="504" t="str">
        <f t="shared" si="18"/>
        <v>STRONG 30N šedý Automatický</v>
      </c>
      <c r="M426" s="445" t="s">
        <v>1098</v>
      </c>
      <c r="N426" s="445" t="s">
        <v>1098</v>
      </c>
      <c r="O426" s="445" t="s">
        <v>1325</v>
      </c>
      <c r="P426" s="445" t="s">
        <v>1326</v>
      </c>
      <c r="Q426" s="445" t="s">
        <v>2564</v>
      </c>
    </row>
    <row r="427" spans="2:17">
      <c r="B427" s="504" t="str">
        <f t="shared" si="18"/>
        <v>STRONG 60N šedý Automatický</v>
      </c>
      <c r="M427" s="445" t="s">
        <v>1100</v>
      </c>
      <c r="N427" s="445" t="s">
        <v>1100</v>
      </c>
      <c r="O427" s="445" t="s">
        <v>1327</v>
      </c>
      <c r="P427" s="445" t="s">
        <v>1328</v>
      </c>
      <c r="Q427" s="445" t="s">
        <v>1938</v>
      </c>
    </row>
    <row r="428" spans="2:17">
      <c r="B428" s="504" t="str">
        <f t="shared" si="18"/>
        <v>STRONG 80N šedý Automatický</v>
      </c>
      <c r="M428" s="445" t="s">
        <v>1102</v>
      </c>
      <c r="N428" s="445" t="s">
        <v>1102</v>
      </c>
      <c r="O428" s="445" t="s">
        <v>1329</v>
      </c>
      <c r="P428" s="445" t="s">
        <v>1330</v>
      </c>
      <c r="Q428" s="445" t="s">
        <v>2565</v>
      </c>
    </row>
    <row r="429" spans="2:17">
      <c r="B429" s="504" t="str">
        <f t="shared" si="18"/>
        <v>STRONG 100N šedý Automatický</v>
      </c>
      <c r="M429" s="445" t="s">
        <v>1104</v>
      </c>
      <c r="N429" s="445" t="s">
        <v>1104</v>
      </c>
      <c r="O429" s="445" t="s">
        <v>1331</v>
      </c>
      <c r="P429" s="445" t="s">
        <v>1332</v>
      </c>
      <c r="Q429" s="445" t="s">
        <v>1940</v>
      </c>
    </row>
    <row r="430" spans="2:17">
      <c r="B430" s="504" t="str">
        <f t="shared" si="18"/>
        <v>STRONG 120N šedý Automatický</v>
      </c>
      <c r="M430" s="445" t="s">
        <v>1106</v>
      </c>
      <c r="N430" s="445" t="s">
        <v>1106</v>
      </c>
      <c r="O430" s="445" t="s">
        <v>1333</v>
      </c>
      <c r="P430" s="445" t="s">
        <v>1334</v>
      </c>
      <c r="Q430" s="445" t="s">
        <v>1941</v>
      </c>
    </row>
    <row r="431" spans="2:17">
      <c r="B431" s="504" t="str">
        <f t="shared" si="18"/>
        <v>STRONG 60N šedý Polohovací</v>
      </c>
      <c r="M431" s="445" t="s">
        <v>1108</v>
      </c>
      <c r="N431" s="445" t="s">
        <v>1108</v>
      </c>
      <c r="O431" s="445" t="s">
        <v>1335</v>
      </c>
      <c r="P431" s="445" t="s">
        <v>1336</v>
      </c>
      <c r="Q431" s="445" t="s">
        <v>2748</v>
      </c>
    </row>
    <row r="432" spans="2:17">
      <c r="B432" s="504" t="str">
        <f t="shared" si="18"/>
        <v>STRONG 80N šedý Polohovací</v>
      </c>
      <c r="M432" s="445" t="s">
        <v>1110</v>
      </c>
      <c r="N432" s="445" t="s">
        <v>1110</v>
      </c>
      <c r="O432" s="445" t="s">
        <v>1337</v>
      </c>
      <c r="P432" s="445" t="s">
        <v>1338</v>
      </c>
      <c r="Q432" s="445" t="s">
        <v>2749</v>
      </c>
    </row>
    <row r="433" spans="2:17">
      <c r="B433" s="504" t="str">
        <f t="shared" si="18"/>
        <v>STRONG 100N šedý Polohovací</v>
      </c>
      <c r="M433" s="445" t="s">
        <v>1112</v>
      </c>
      <c r="N433" s="445" t="s">
        <v>1112</v>
      </c>
      <c r="O433" s="445" t="s">
        <v>1339</v>
      </c>
      <c r="P433" s="445" t="s">
        <v>1340</v>
      </c>
      <c r="Q433" s="445" t="s">
        <v>2750</v>
      </c>
    </row>
    <row r="434" spans="2:17">
      <c r="B434" s="504" t="str">
        <f t="shared" si="18"/>
        <v>STRONG 120N šedý Polohovací</v>
      </c>
      <c r="M434" s="445" t="s">
        <v>1114</v>
      </c>
      <c r="N434" s="445" t="s">
        <v>1114</v>
      </c>
      <c r="O434" s="445" t="s">
        <v>1341</v>
      </c>
      <c r="P434" s="445" t="s">
        <v>1342</v>
      </c>
      <c r="Q434" s="445" t="s">
        <v>2566</v>
      </c>
    </row>
    <row r="435" spans="2:17">
      <c r="B435" s="504" t="str">
        <f t="shared" si="18"/>
        <v>HUWIL DUO</v>
      </c>
      <c r="M435" s="445" t="s">
        <v>1116</v>
      </c>
      <c r="N435" s="445" t="s">
        <v>1116</v>
      </c>
      <c r="O435" s="445" t="s">
        <v>1116</v>
      </c>
      <c r="P435" s="445" t="s">
        <v>1116</v>
      </c>
      <c r="Q435" s="445" t="s">
        <v>1116</v>
      </c>
    </row>
    <row r="436" spans="2:17">
      <c r="B436" s="504" t="str">
        <f t="shared" si="18"/>
        <v>HUWIL DUO FORTE</v>
      </c>
      <c r="M436" s="445" t="s">
        <v>1118</v>
      </c>
      <c r="N436" s="445" t="s">
        <v>1118</v>
      </c>
      <c r="O436" s="445" t="s">
        <v>1118</v>
      </c>
      <c r="P436" s="445" t="s">
        <v>1118</v>
      </c>
      <c r="Q436" s="445" t="s">
        <v>1118</v>
      </c>
    </row>
    <row r="437" spans="2:17">
      <c r="B437" s="504" t="str">
        <f t="shared" si="18"/>
        <v>HUWILIFT MAXI</v>
      </c>
      <c r="M437" s="445" t="s">
        <v>1120</v>
      </c>
      <c r="N437" s="445" t="s">
        <v>1120</v>
      </c>
      <c r="O437" s="445" t="s">
        <v>1120</v>
      </c>
      <c r="P437" s="445" t="s">
        <v>1120</v>
      </c>
      <c r="Q437" s="445" t="s">
        <v>1120</v>
      </c>
    </row>
    <row r="438" spans="2:17">
      <c r="B438" s="504" t="str">
        <f t="shared" si="18"/>
        <v>KRABY 164 45N</v>
      </c>
      <c r="M438" s="445" t="s">
        <v>749</v>
      </c>
      <c r="N438" s="445" t="s">
        <v>749</v>
      </c>
      <c r="O438" s="445" t="s">
        <v>749</v>
      </c>
      <c r="P438" s="445" t="s">
        <v>749</v>
      </c>
      <c r="Q438" s="445" t="s">
        <v>749</v>
      </c>
    </row>
    <row r="439" spans="2:17">
      <c r="B439" s="504" t="str">
        <f t="shared" si="18"/>
        <v>KRABY 164 60N</v>
      </c>
      <c r="M439" s="445" t="s">
        <v>750</v>
      </c>
      <c r="N439" s="445" t="s">
        <v>750</v>
      </c>
      <c r="O439" s="445" t="s">
        <v>750</v>
      </c>
      <c r="P439" s="445" t="s">
        <v>750</v>
      </c>
      <c r="Q439" s="445" t="s">
        <v>750</v>
      </c>
    </row>
    <row r="440" spans="2:17">
      <c r="B440" s="504" t="str">
        <f t="shared" si="18"/>
        <v>KRABY 244 45N</v>
      </c>
      <c r="M440" s="445" t="s">
        <v>751</v>
      </c>
      <c r="N440" s="445" t="s">
        <v>751</v>
      </c>
      <c r="O440" s="445" t="s">
        <v>751</v>
      </c>
      <c r="P440" s="445" t="s">
        <v>751</v>
      </c>
      <c r="Q440" s="445" t="s">
        <v>751</v>
      </c>
    </row>
    <row r="441" spans="2:17">
      <c r="B441" s="504" t="str">
        <f t="shared" si="18"/>
        <v>KRABY 244 60N</v>
      </c>
      <c r="M441" s="445" t="s">
        <v>752</v>
      </c>
      <c r="N441" s="445" t="s">
        <v>752</v>
      </c>
      <c r="O441" s="445" t="s">
        <v>752</v>
      </c>
      <c r="P441" s="445" t="s">
        <v>752</v>
      </c>
      <c r="Q441" s="445" t="s">
        <v>752</v>
      </c>
    </row>
    <row r="442" spans="2:17">
      <c r="B442" s="504" t="str">
        <f t="shared" si="18"/>
        <v>KRABY 244 90N</v>
      </c>
      <c r="M442" s="445" t="s">
        <v>753</v>
      </c>
      <c r="N442" s="445" t="s">
        <v>753</v>
      </c>
      <c r="O442" s="445" t="s">
        <v>753</v>
      </c>
      <c r="P442" s="445" t="s">
        <v>753</v>
      </c>
      <c r="Q442" s="445" t="s">
        <v>753</v>
      </c>
    </row>
    <row r="443" spans="2:17">
      <c r="B443" s="504" t="str">
        <f t="shared" si="18"/>
        <v>KRABY 244 120N</v>
      </c>
      <c r="M443" s="445" t="s">
        <v>754</v>
      </c>
      <c r="N443" s="445" t="s">
        <v>754</v>
      </c>
      <c r="O443" s="445" t="s">
        <v>754</v>
      </c>
      <c r="P443" s="445" t="s">
        <v>754</v>
      </c>
      <c r="Q443" s="445" t="s">
        <v>754</v>
      </c>
    </row>
    <row r="444" spans="2:17">
      <c r="B444" s="504" t="str">
        <f t="shared" si="18"/>
        <v>KRABY 355 45N</v>
      </c>
      <c r="M444" s="445" t="s">
        <v>755</v>
      </c>
      <c r="N444" s="445" t="s">
        <v>755</v>
      </c>
      <c r="O444" s="445" t="s">
        <v>755</v>
      </c>
      <c r="P444" s="445" t="s">
        <v>755</v>
      </c>
      <c r="Q444" s="445" t="s">
        <v>755</v>
      </c>
    </row>
    <row r="445" spans="2:17">
      <c r="B445" s="504" t="str">
        <f t="shared" si="18"/>
        <v>KRABY 355 60N</v>
      </c>
      <c r="M445" s="445" t="s">
        <v>756</v>
      </c>
      <c r="N445" s="445" t="s">
        <v>756</v>
      </c>
      <c r="O445" s="445" t="s">
        <v>756</v>
      </c>
      <c r="P445" s="445" t="s">
        <v>756</v>
      </c>
      <c r="Q445" s="445" t="s">
        <v>756</v>
      </c>
    </row>
    <row r="446" spans="2:17">
      <c r="B446" s="504" t="str">
        <f t="shared" si="18"/>
        <v>KRABY 355 90N</v>
      </c>
      <c r="M446" s="445" t="s">
        <v>757</v>
      </c>
      <c r="N446" s="445" t="s">
        <v>757</v>
      </c>
      <c r="O446" s="445" t="s">
        <v>757</v>
      </c>
      <c r="P446" s="445" t="s">
        <v>757</v>
      </c>
      <c r="Q446" s="445" t="s">
        <v>757</v>
      </c>
    </row>
    <row r="447" spans="2:17">
      <c r="B447" s="504" t="str">
        <f t="shared" si="18"/>
        <v>KRABY 355 120N</v>
      </c>
      <c r="M447" s="445" t="s">
        <v>758</v>
      </c>
      <c r="N447" s="445" t="s">
        <v>758</v>
      </c>
      <c r="O447" s="445" t="s">
        <v>758</v>
      </c>
      <c r="P447" s="445" t="s">
        <v>758</v>
      </c>
      <c r="Q447" s="445" t="s">
        <v>758</v>
      </c>
    </row>
    <row r="448" spans="2:17">
      <c r="B448" s="504" t="str">
        <f t="shared" si="18"/>
        <v>K12 244 50N</v>
      </c>
      <c r="M448" s="445" t="s">
        <v>1132</v>
      </c>
      <c r="N448" s="445" t="s">
        <v>1132</v>
      </c>
      <c r="O448" s="445" t="s">
        <v>1132</v>
      </c>
      <c r="P448" s="445" t="s">
        <v>1132</v>
      </c>
      <c r="Q448" s="445" t="s">
        <v>1132</v>
      </c>
    </row>
    <row r="449" spans="2:17">
      <c r="B449" s="504" t="str">
        <f t="shared" si="18"/>
        <v>K12 244 80N</v>
      </c>
      <c r="M449" s="445" t="s">
        <v>1134</v>
      </c>
      <c r="N449" s="445" t="s">
        <v>1134</v>
      </c>
      <c r="O449" s="445" t="s">
        <v>1134</v>
      </c>
      <c r="P449" s="445" t="s">
        <v>1134</v>
      </c>
      <c r="Q449" s="445" t="s">
        <v>1134</v>
      </c>
    </row>
    <row r="450" spans="2:17">
      <c r="B450" s="504" t="str">
        <f t="shared" si="18"/>
        <v>K12 244 100N</v>
      </c>
      <c r="M450" s="445" t="s">
        <v>1136</v>
      </c>
      <c r="N450" s="445" t="s">
        <v>1136</v>
      </c>
      <c r="O450" s="445" t="s">
        <v>1136</v>
      </c>
      <c r="P450" s="445" t="s">
        <v>1136</v>
      </c>
      <c r="Q450" s="445" t="s">
        <v>1136</v>
      </c>
    </row>
    <row r="451" spans="2:17">
      <c r="B451" s="504" t="str">
        <f t="shared" si="18"/>
        <v>K12 244 120N</v>
      </c>
      <c r="M451" s="445" t="s">
        <v>1138</v>
      </c>
      <c r="N451" s="445" t="s">
        <v>1138</v>
      </c>
      <c r="O451" s="445" t="s">
        <v>1138</v>
      </c>
      <c r="P451" s="445" t="s">
        <v>1138</v>
      </c>
      <c r="Q451" s="445" t="s">
        <v>1138</v>
      </c>
    </row>
    <row r="452" spans="2:17">
      <c r="B452" s="504" t="str">
        <f t="shared" si="18"/>
        <v>K12 355 60N</v>
      </c>
      <c r="M452" s="445" t="s">
        <v>1140</v>
      </c>
      <c r="N452" s="445" t="s">
        <v>1140</v>
      </c>
      <c r="O452" s="445" t="s">
        <v>1140</v>
      </c>
      <c r="P452" s="445" t="s">
        <v>1140</v>
      </c>
      <c r="Q452" s="445" t="s">
        <v>1140</v>
      </c>
    </row>
    <row r="453" spans="2:17">
      <c r="B453" s="504" t="str">
        <f t="shared" si="18"/>
        <v>K12 355 90N</v>
      </c>
      <c r="M453" s="445" t="s">
        <v>1142</v>
      </c>
      <c r="N453" s="445" t="s">
        <v>1142</v>
      </c>
      <c r="O453" s="445" t="s">
        <v>1142</v>
      </c>
      <c r="P453" s="445" t="s">
        <v>1142</v>
      </c>
      <c r="Q453" s="445" t="s">
        <v>1142</v>
      </c>
    </row>
    <row r="454" spans="2:17">
      <c r="B454" s="504" t="str">
        <f t="shared" si="18"/>
        <v>K12 355 110N</v>
      </c>
      <c r="M454" s="445" t="s">
        <v>1144</v>
      </c>
      <c r="N454" s="445" t="s">
        <v>1144</v>
      </c>
      <c r="O454" s="445" t="s">
        <v>1144</v>
      </c>
      <c r="P454" s="445" t="s">
        <v>1144</v>
      </c>
      <c r="Q454" s="445" t="s">
        <v>1144</v>
      </c>
    </row>
    <row r="455" spans="2:17">
      <c r="B455" s="504" t="str">
        <f t="shared" si="18"/>
        <v>K12 355 130N</v>
      </c>
      <c r="M455" s="445" t="s">
        <v>1146</v>
      </c>
      <c r="N455" s="445" t="s">
        <v>1146</v>
      </c>
      <c r="O455" s="445" t="s">
        <v>1146</v>
      </c>
      <c r="P455" s="445" t="s">
        <v>1146</v>
      </c>
      <c r="Q455" s="445" t="s">
        <v>1146</v>
      </c>
    </row>
    <row r="456" spans="2:17">
      <c r="B456" s="504" t="str">
        <f t="shared" si="18"/>
        <v>STRONG spodní bílý</v>
      </c>
      <c r="M456" s="445" t="s">
        <v>1148</v>
      </c>
      <c r="N456" s="445" t="s">
        <v>1343</v>
      </c>
      <c r="O456" s="445" t="s">
        <v>1344</v>
      </c>
      <c r="P456" s="445" t="s">
        <v>1345</v>
      </c>
      <c r="Q456" s="445" t="s">
        <v>2751</v>
      </c>
    </row>
    <row r="457" spans="2:17">
      <c r="B457" s="504" t="str">
        <f t="shared" si="18"/>
        <v>STRONG spodní šedý</v>
      </c>
      <c r="M457" s="445" t="s">
        <v>1150</v>
      </c>
      <c r="N457" s="445" t="s">
        <v>1346</v>
      </c>
      <c r="O457" s="445" t="s">
        <v>1347</v>
      </c>
      <c r="P457" s="445" t="s">
        <v>1348</v>
      </c>
      <c r="Q457" s="445" t="s">
        <v>2752</v>
      </c>
    </row>
    <row r="458" spans="2:17">
      <c r="B458" s="504" t="str">
        <f t="shared" si="18"/>
        <v xml:space="preserve">HUWIL DUO (90°) </v>
      </c>
      <c r="M458" s="445" t="s">
        <v>1152</v>
      </c>
      <c r="N458" s="445" t="s">
        <v>1152</v>
      </c>
      <c r="O458" s="445" t="s">
        <v>1152</v>
      </c>
      <c r="P458" s="445" t="s">
        <v>1152</v>
      </c>
      <c r="Q458" s="445" t="s">
        <v>852</v>
      </c>
    </row>
    <row r="459" spans="2:17">
      <c r="B459" s="504" t="str">
        <f t="shared" si="18"/>
        <v>HUWIL DUO FORTE</v>
      </c>
      <c r="M459" s="445" t="s">
        <v>1118</v>
      </c>
      <c r="N459" s="445" t="s">
        <v>1118</v>
      </c>
      <c r="O459" s="445" t="s">
        <v>1118</v>
      </c>
      <c r="P459" s="445" t="s">
        <v>1118</v>
      </c>
      <c r="Q459" s="445" t="s">
        <v>1118</v>
      </c>
    </row>
    <row r="460" spans="2:17">
      <c r="B460" s="504" t="str">
        <f t="shared" si="18"/>
        <v>KRABY 164 spodní</v>
      </c>
      <c r="M460" s="445" t="s">
        <v>1155</v>
      </c>
      <c r="N460" s="445" t="s">
        <v>1349</v>
      </c>
      <c r="O460" s="445" t="s">
        <v>1350</v>
      </c>
      <c r="P460" s="445" t="s">
        <v>1351</v>
      </c>
      <c r="Q460" s="445" t="s">
        <v>2567</v>
      </c>
    </row>
    <row r="461" spans="2:17">
      <c r="B461" s="504" t="str">
        <f t="shared" si="18"/>
        <v>KRABY 244 spodní</v>
      </c>
      <c r="M461" s="445" t="s">
        <v>1157</v>
      </c>
      <c r="N461" s="445" t="s">
        <v>1352</v>
      </c>
      <c r="O461" s="445" t="s">
        <v>1353</v>
      </c>
      <c r="P461" s="445" t="s">
        <v>1354</v>
      </c>
      <c r="Q461" s="445" t="s">
        <v>2568</v>
      </c>
    </row>
    <row r="462" spans="2:17">
      <c r="B462" s="504" t="str">
        <f t="shared" si="18"/>
        <v>KRABY 355 spodní</v>
      </c>
      <c r="M462" s="445" t="s">
        <v>1159</v>
      </c>
      <c r="N462" s="445" t="s">
        <v>1355</v>
      </c>
      <c r="O462" s="445" t="s">
        <v>1356</v>
      </c>
      <c r="P462" s="445" t="s">
        <v>1357</v>
      </c>
      <c r="Q462" s="445" t="s">
        <v>2569</v>
      </c>
    </row>
    <row r="463" spans="2:17">
      <c r="B463" s="504" t="str">
        <f t="shared" si="18"/>
        <v>STRONG 30N bílý Automatický</v>
      </c>
      <c r="M463" s="445" t="s">
        <v>1080</v>
      </c>
      <c r="N463" s="445" t="s">
        <v>1298</v>
      </c>
      <c r="O463" s="445" t="s">
        <v>1299</v>
      </c>
      <c r="P463" s="445" t="s">
        <v>1300</v>
      </c>
      <c r="Q463" s="445" t="s">
        <v>1928</v>
      </c>
    </row>
    <row r="464" spans="2:17">
      <c r="B464" s="504" t="str">
        <f t="shared" si="18"/>
        <v>STRONG 60N bílý Automatický</v>
      </c>
      <c r="M464" s="445" t="s">
        <v>1082</v>
      </c>
      <c r="N464" s="445" t="s">
        <v>1301</v>
      </c>
      <c r="O464" s="445" t="s">
        <v>1302</v>
      </c>
      <c r="P464" s="445" t="s">
        <v>1303</v>
      </c>
      <c r="Q464" s="445" t="s">
        <v>1929</v>
      </c>
    </row>
    <row r="465" spans="2:17">
      <c r="B465" s="504" t="str">
        <f t="shared" si="18"/>
        <v>STRONG 80N bílý Automatický</v>
      </c>
      <c r="M465" s="445" t="s">
        <v>1084</v>
      </c>
      <c r="N465" s="445" t="s">
        <v>1304</v>
      </c>
      <c r="O465" s="445" t="s">
        <v>1305</v>
      </c>
      <c r="P465" s="445" t="s">
        <v>1306</v>
      </c>
      <c r="Q465" s="445" t="s">
        <v>1930</v>
      </c>
    </row>
    <row r="466" spans="2:17">
      <c r="B466" s="504" t="str">
        <f t="shared" si="18"/>
        <v>STRONG 100N bílý Automatický</v>
      </c>
      <c r="M466" s="445" t="s">
        <v>1086</v>
      </c>
      <c r="N466" s="445" t="s">
        <v>1307</v>
      </c>
      <c r="O466" s="445" t="s">
        <v>1308</v>
      </c>
      <c r="P466" s="445" t="s">
        <v>1309</v>
      </c>
      <c r="Q466" s="445" t="s">
        <v>1931</v>
      </c>
    </row>
    <row r="467" spans="2:17">
      <c r="B467" s="504" t="str">
        <f t="shared" si="18"/>
        <v>STRONG 120N bílý Automatický</v>
      </c>
      <c r="M467" s="445" t="s">
        <v>1088</v>
      </c>
      <c r="N467" s="445" t="s">
        <v>1310</v>
      </c>
      <c r="O467" s="445" t="s">
        <v>1311</v>
      </c>
      <c r="P467" s="445" t="s">
        <v>1312</v>
      </c>
      <c r="Q467" s="445" t="s">
        <v>1932</v>
      </c>
    </row>
    <row r="468" spans="2:17">
      <c r="B468" s="504" t="str">
        <f t="shared" si="18"/>
        <v>STRONG 60N bílý Polohovací</v>
      </c>
      <c r="M468" s="445" t="s">
        <v>1090</v>
      </c>
      <c r="N468" s="445" t="s">
        <v>1313</v>
      </c>
      <c r="O468" s="445" t="s">
        <v>1314</v>
      </c>
      <c r="P468" s="445" t="s">
        <v>1315</v>
      </c>
      <c r="Q468" s="445" t="s">
        <v>2744</v>
      </c>
    </row>
    <row r="469" spans="2:17">
      <c r="B469" s="504" t="str">
        <f t="shared" si="18"/>
        <v>STRONG 80N bílý Polohovací</v>
      </c>
      <c r="M469" s="445" t="s">
        <v>1092</v>
      </c>
      <c r="N469" s="445" t="s">
        <v>1316</v>
      </c>
      <c r="O469" s="445" t="s">
        <v>1317</v>
      </c>
      <c r="P469" s="445" t="s">
        <v>1318</v>
      </c>
      <c r="Q469" s="445" t="s">
        <v>2745</v>
      </c>
    </row>
    <row r="470" spans="2:17">
      <c r="B470" s="504" t="str">
        <f t="shared" si="18"/>
        <v>STRONG 100N bílý Polohovací</v>
      </c>
      <c r="M470" s="445" t="s">
        <v>1094</v>
      </c>
      <c r="N470" s="445" t="s">
        <v>1319</v>
      </c>
      <c r="O470" s="445" t="s">
        <v>1320</v>
      </c>
      <c r="P470" s="445" t="s">
        <v>1321</v>
      </c>
      <c r="Q470" s="445" t="s">
        <v>2746</v>
      </c>
    </row>
    <row r="471" spans="2:17">
      <c r="B471" s="504" t="str">
        <f t="shared" si="18"/>
        <v>STRONG 120N bílý Polohovací</v>
      </c>
      <c r="M471" s="445" t="s">
        <v>1096</v>
      </c>
      <c r="N471" s="445" t="s">
        <v>1322</v>
      </c>
      <c r="O471" s="445" t="s">
        <v>1323</v>
      </c>
      <c r="P471" s="445" t="s">
        <v>1324</v>
      </c>
      <c r="Q471" s="445" t="s">
        <v>2747</v>
      </c>
    </row>
    <row r="472" spans="2:17">
      <c r="B472" s="504" t="str">
        <f t="shared" si="18"/>
        <v>STRONG 30N šedý Automatický</v>
      </c>
      <c r="M472" s="445" t="s">
        <v>1098</v>
      </c>
      <c r="N472" s="445" t="s">
        <v>1098</v>
      </c>
      <c r="O472" s="445" t="s">
        <v>1325</v>
      </c>
      <c r="P472" s="445" t="s">
        <v>1326</v>
      </c>
      <c r="Q472" s="445" t="s">
        <v>2564</v>
      </c>
    </row>
    <row r="473" spans="2:17">
      <c r="B473" s="504" t="str">
        <f t="shared" si="18"/>
        <v>STRONG 60N šedý Automatický</v>
      </c>
      <c r="M473" s="445" t="s">
        <v>1100</v>
      </c>
      <c r="N473" s="445" t="s">
        <v>1100</v>
      </c>
      <c r="O473" s="445" t="s">
        <v>1327</v>
      </c>
      <c r="P473" s="445" t="s">
        <v>1328</v>
      </c>
      <c r="Q473" s="445" t="s">
        <v>1938</v>
      </c>
    </row>
    <row r="474" spans="2:17">
      <c r="B474" s="504" t="str">
        <f t="shared" si="18"/>
        <v>STRONG 80N šedý Automatický</v>
      </c>
      <c r="M474" s="445" t="s">
        <v>1102</v>
      </c>
      <c r="N474" s="445" t="s">
        <v>1102</v>
      </c>
      <c r="O474" s="445" t="s">
        <v>1329</v>
      </c>
      <c r="P474" s="445" t="s">
        <v>1330</v>
      </c>
      <c r="Q474" s="445" t="s">
        <v>2565</v>
      </c>
    </row>
    <row r="475" spans="2:17">
      <c r="B475" s="504" t="str">
        <f t="shared" si="18"/>
        <v>STRONG 100N šedý Automatický</v>
      </c>
      <c r="M475" s="445" t="s">
        <v>1104</v>
      </c>
      <c r="N475" s="445" t="s">
        <v>1104</v>
      </c>
      <c r="O475" s="445" t="s">
        <v>1331</v>
      </c>
      <c r="P475" s="445" t="s">
        <v>1332</v>
      </c>
      <c r="Q475" s="445" t="s">
        <v>1940</v>
      </c>
    </row>
    <row r="476" spans="2:17">
      <c r="B476" s="504" t="str">
        <f t="shared" si="18"/>
        <v>STRONG 120N šedý Automatický</v>
      </c>
      <c r="M476" s="445" t="s">
        <v>1106</v>
      </c>
      <c r="N476" s="445" t="s">
        <v>1106</v>
      </c>
      <c r="O476" s="445" t="s">
        <v>1333</v>
      </c>
      <c r="P476" s="445" t="s">
        <v>1334</v>
      </c>
      <c r="Q476" s="445" t="s">
        <v>1941</v>
      </c>
    </row>
    <row r="477" spans="2:17">
      <c r="B477" s="504" t="str">
        <f t="shared" si="18"/>
        <v>STRONG 60N šedý Polohovací</v>
      </c>
      <c r="M477" s="445" t="s">
        <v>1108</v>
      </c>
      <c r="N477" s="445" t="s">
        <v>1108</v>
      </c>
      <c r="O477" s="445" t="s">
        <v>1335</v>
      </c>
      <c r="P477" s="445" t="s">
        <v>1336</v>
      </c>
      <c r="Q477" s="445" t="s">
        <v>2748</v>
      </c>
    </row>
    <row r="478" spans="2:17">
      <c r="B478" s="504" t="str">
        <f t="shared" si="18"/>
        <v>STRONG 80N šedý Polohovací</v>
      </c>
      <c r="M478" s="445" t="s">
        <v>1110</v>
      </c>
      <c r="N478" s="445" t="s">
        <v>1110</v>
      </c>
      <c r="O478" s="445" t="s">
        <v>1337</v>
      </c>
      <c r="P478" s="445" t="s">
        <v>1338</v>
      </c>
      <c r="Q478" s="445" t="s">
        <v>2749</v>
      </c>
    </row>
    <row r="479" spans="2:17">
      <c r="B479" s="504" t="str">
        <f t="shared" si="18"/>
        <v>STRONG 100N šedý Polohovací</v>
      </c>
      <c r="M479" s="445" t="s">
        <v>1112</v>
      </c>
      <c r="N479" s="445" t="s">
        <v>1112</v>
      </c>
      <c r="O479" s="445" t="s">
        <v>1339</v>
      </c>
      <c r="P479" s="445" t="s">
        <v>1340</v>
      </c>
      <c r="Q479" s="445" t="s">
        <v>2750</v>
      </c>
    </row>
    <row r="480" spans="2:17">
      <c r="B480" s="504" t="str">
        <f t="shared" si="18"/>
        <v>STRONG 120N šedý Polohovací</v>
      </c>
      <c r="M480" s="445" t="s">
        <v>1114</v>
      </c>
      <c r="N480" s="445" t="s">
        <v>1114</v>
      </c>
      <c r="O480" s="445" t="s">
        <v>1341</v>
      </c>
      <c r="P480" s="445" t="s">
        <v>1342</v>
      </c>
      <c r="Q480" s="445" t="s">
        <v>2566</v>
      </c>
    </row>
    <row r="481" spans="2:17">
      <c r="B481" s="504" t="str">
        <f t="shared" si="18"/>
        <v>HUWIL DUO</v>
      </c>
      <c r="M481" s="445" t="s">
        <v>1116</v>
      </c>
      <c r="N481" s="445" t="s">
        <v>1116</v>
      </c>
      <c r="O481" s="445" t="s">
        <v>1116</v>
      </c>
      <c r="P481" s="445" t="s">
        <v>1116</v>
      </c>
      <c r="Q481" s="445" t="s">
        <v>1116</v>
      </c>
    </row>
    <row r="482" spans="2:17">
      <c r="B482" s="504" t="str">
        <f t="shared" si="18"/>
        <v>HUWILIFT MAXI</v>
      </c>
      <c r="M482" s="445" t="s">
        <v>1120</v>
      </c>
      <c r="N482" s="445" t="s">
        <v>1120</v>
      </c>
      <c r="O482" s="445" t="s">
        <v>1120</v>
      </c>
      <c r="P482" s="445" t="s">
        <v>1120</v>
      </c>
      <c r="Q482" s="445" t="s">
        <v>1120</v>
      </c>
    </row>
    <row r="483" spans="2:17">
      <c r="B483" s="504" t="str">
        <f t="shared" si="18"/>
        <v>KRABY 164 45N</v>
      </c>
      <c r="M483" s="445" t="s">
        <v>749</v>
      </c>
      <c r="N483" s="445" t="s">
        <v>749</v>
      </c>
      <c r="O483" s="445" t="s">
        <v>749</v>
      </c>
      <c r="P483" s="445" t="s">
        <v>749</v>
      </c>
      <c r="Q483" s="445" t="s">
        <v>749</v>
      </c>
    </row>
    <row r="484" spans="2:17">
      <c r="B484" s="504" t="str">
        <f t="shared" si="18"/>
        <v>KRABY 164 60N</v>
      </c>
      <c r="M484" s="445" t="s">
        <v>750</v>
      </c>
      <c r="N484" s="445" t="s">
        <v>750</v>
      </c>
      <c r="O484" s="445" t="s">
        <v>750</v>
      </c>
      <c r="P484" s="445" t="s">
        <v>750</v>
      </c>
      <c r="Q484" s="445" t="s">
        <v>750</v>
      </c>
    </row>
    <row r="485" spans="2:17">
      <c r="B485" s="504" t="str">
        <f t="shared" si="18"/>
        <v>KRABY 244 45N</v>
      </c>
      <c r="M485" s="445" t="s">
        <v>751</v>
      </c>
      <c r="N485" s="445" t="s">
        <v>751</v>
      </c>
      <c r="O485" s="445" t="s">
        <v>751</v>
      </c>
      <c r="P485" s="445" t="s">
        <v>751</v>
      </c>
      <c r="Q485" s="445" t="s">
        <v>751</v>
      </c>
    </row>
    <row r="486" spans="2:17">
      <c r="B486" s="504" t="str">
        <f t="shared" si="18"/>
        <v>KRABY 244 60N</v>
      </c>
      <c r="M486" s="445" t="s">
        <v>752</v>
      </c>
      <c r="N486" s="445" t="s">
        <v>752</v>
      </c>
      <c r="O486" s="445" t="s">
        <v>752</v>
      </c>
      <c r="P486" s="445" t="s">
        <v>752</v>
      </c>
      <c r="Q486" s="445" t="s">
        <v>752</v>
      </c>
    </row>
    <row r="487" spans="2:17">
      <c r="B487" s="504" t="str">
        <f t="shared" ref="B487:B550" si="19">IF($D$1=1,M487,IF($D$1=2,N487,IF($D$1=3,O487,IF($D$1=4,P487,IF($D$1=5,Q487,0)))))</f>
        <v>KRABY 244 90N</v>
      </c>
      <c r="M487" s="445" t="s">
        <v>753</v>
      </c>
      <c r="N487" s="445" t="s">
        <v>753</v>
      </c>
      <c r="O487" s="445" t="s">
        <v>753</v>
      </c>
      <c r="P487" s="445" t="s">
        <v>753</v>
      </c>
      <c r="Q487" s="445" t="s">
        <v>753</v>
      </c>
    </row>
    <row r="488" spans="2:17">
      <c r="B488" s="504" t="str">
        <f t="shared" si="19"/>
        <v>KRABY 244 120N</v>
      </c>
      <c r="M488" s="445" t="s">
        <v>754</v>
      </c>
      <c r="N488" s="445" t="s">
        <v>754</v>
      </c>
      <c r="O488" s="445" t="s">
        <v>754</v>
      </c>
      <c r="P488" s="445" t="s">
        <v>754</v>
      </c>
      <c r="Q488" s="445" t="s">
        <v>754</v>
      </c>
    </row>
    <row r="489" spans="2:17">
      <c r="B489" s="504" t="str">
        <f t="shared" si="19"/>
        <v>KRABY 355 45N</v>
      </c>
      <c r="M489" s="445" t="s">
        <v>755</v>
      </c>
      <c r="N489" s="445" t="s">
        <v>755</v>
      </c>
      <c r="O489" s="445" t="s">
        <v>755</v>
      </c>
      <c r="P489" s="445" t="s">
        <v>755</v>
      </c>
      <c r="Q489" s="445" t="s">
        <v>755</v>
      </c>
    </row>
    <row r="490" spans="2:17">
      <c r="B490" s="504" t="str">
        <f t="shared" si="19"/>
        <v>KRABY 355 60N</v>
      </c>
      <c r="M490" s="445" t="s">
        <v>756</v>
      </c>
      <c r="N490" s="445" t="s">
        <v>756</v>
      </c>
      <c r="O490" s="445" t="s">
        <v>756</v>
      </c>
      <c r="P490" s="445" t="s">
        <v>756</v>
      </c>
      <c r="Q490" s="445" t="s">
        <v>756</v>
      </c>
    </row>
    <row r="491" spans="2:17">
      <c r="B491" s="504" t="str">
        <f t="shared" si="19"/>
        <v>KRABY 355 90N</v>
      </c>
      <c r="M491" s="445" t="s">
        <v>757</v>
      </c>
      <c r="N491" s="445" t="s">
        <v>757</v>
      </c>
      <c r="O491" s="445" t="s">
        <v>757</v>
      </c>
      <c r="P491" s="445" t="s">
        <v>757</v>
      </c>
      <c r="Q491" s="445" t="s">
        <v>757</v>
      </c>
    </row>
    <row r="492" spans="2:17">
      <c r="B492" s="504" t="str">
        <f t="shared" si="19"/>
        <v>KRABY 355 120N</v>
      </c>
      <c r="M492" s="445" t="s">
        <v>758</v>
      </c>
      <c r="N492" s="445" t="s">
        <v>758</v>
      </c>
      <c r="O492" s="445" t="s">
        <v>758</v>
      </c>
      <c r="P492" s="445" t="s">
        <v>758</v>
      </c>
      <c r="Q492" s="445" t="s">
        <v>758</v>
      </c>
    </row>
    <row r="493" spans="2:17">
      <c r="B493" s="504" t="str">
        <f t="shared" si="19"/>
        <v>K12 244 50N</v>
      </c>
      <c r="M493" s="445" t="s">
        <v>1132</v>
      </c>
      <c r="N493" s="445" t="s">
        <v>1132</v>
      </c>
      <c r="O493" s="445" t="s">
        <v>1132</v>
      </c>
      <c r="P493" s="445" t="s">
        <v>1132</v>
      </c>
      <c r="Q493" s="445" t="s">
        <v>1132</v>
      </c>
    </row>
    <row r="494" spans="2:17">
      <c r="B494" s="504" t="str">
        <f t="shared" si="19"/>
        <v>K12 244 80N</v>
      </c>
      <c r="M494" s="445" t="s">
        <v>1134</v>
      </c>
      <c r="N494" s="445" t="s">
        <v>1134</v>
      </c>
      <c r="O494" s="445" t="s">
        <v>1134</v>
      </c>
      <c r="P494" s="445" t="s">
        <v>1134</v>
      </c>
      <c r="Q494" s="445" t="s">
        <v>1134</v>
      </c>
    </row>
    <row r="495" spans="2:17">
      <c r="B495" s="504" t="str">
        <f t="shared" si="19"/>
        <v>K12 244 100N</v>
      </c>
      <c r="M495" s="445" t="s">
        <v>1136</v>
      </c>
      <c r="N495" s="445" t="s">
        <v>1136</v>
      </c>
      <c r="O495" s="445" t="s">
        <v>1136</v>
      </c>
      <c r="P495" s="445" t="s">
        <v>1136</v>
      </c>
      <c r="Q495" s="445" t="s">
        <v>1136</v>
      </c>
    </row>
    <row r="496" spans="2:17">
      <c r="B496" s="504" t="str">
        <f t="shared" si="19"/>
        <v>K12 244 120N</v>
      </c>
      <c r="M496" s="445" t="s">
        <v>1138</v>
      </c>
      <c r="N496" s="445" t="s">
        <v>1138</v>
      </c>
      <c r="O496" s="445" t="s">
        <v>1138</v>
      </c>
      <c r="P496" s="445" t="s">
        <v>1138</v>
      </c>
      <c r="Q496" s="445" t="s">
        <v>1138</v>
      </c>
    </row>
    <row r="497" spans="2:17">
      <c r="B497" s="504" t="str">
        <f t="shared" si="19"/>
        <v>K12 355 60N</v>
      </c>
      <c r="M497" s="445" t="s">
        <v>1140</v>
      </c>
      <c r="N497" s="445" t="s">
        <v>1140</v>
      </c>
      <c r="O497" s="445" t="s">
        <v>1140</v>
      </c>
      <c r="P497" s="445" t="s">
        <v>1140</v>
      </c>
      <c r="Q497" s="445" t="s">
        <v>1140</v>
      </c>
    </row>
    <row r="498" spans="2:17">
      <c r="B498" s="504" t="str">
        <f t="shared" si="19"/>
        <v>K12 355 90N</v>
      </c>
      <c r="M498" s="445" t="s">
        <v>1142</v>
      </c>
      <c r="N498" s="445" t="s">
        <v>1142</v>
      </c>
      <c r="O498" s="445" t="s">
        <v>1142</v>
      </c>
      <c r="P498" s="445" t="s">
        <v>1142</v>
      </c>
      <c r="Q498" s="445" t="s">
        <v>1142</v>
      </c>
    </row>
    <row r="499" spans="2:17">
      <c r="B499" s="504" t="str">
        <f t="shared" si="19"/>
        <v>K12 355 110N</v>
      </c>
      <c r="M499" s="445" t="s">
        <v>1144</v>
      </c>
      <c r="N499" s="445" t="s">
        <v>1144</v>
      </c>
      <c r="O499" s="445" t="s">
        <v>1144</v>
      </c>
      <c r="P499" s="445" t="s">
        <v>1144</v>
      </c>
      <c r="Q499" s="445" t="s">
        <v>1144</v>
      </c>
    </row>
    <row r="500" spans="2:17">
      <c r="B500" s="504" t="str">
        <f t="shared" si="19"/>
        <v>K12 355 130N</v>
      </c>
      <c r="M500" s="445" t="s">
        <v>1146</v>
      </c>
      <c r="N500" s="445" t="s">
        <v>1146</v>
      </c>
      <c r="O500" s="445" t="s">
        <v>1146</v>
      </c>
      <c r="P500" s="445" t="s">
        <v>1146</v>
      </c>
      <c r="Q500" s="445" t="s">
        <v>1146</v>
      </c>
    </row>
    <row r="501" spans="2:17">
      <c r="B501" s="504" t="str">
        <f t="shared" si="19"/>
        <v>STRONG spodní bílý</v>
      </c>
      <c r="M501" s="445" t="s">
        <v>1148</v>
      </c>
      <c r="N501" s="445" t="s">
        <v>1343</v>
      </c>
      <c r="O501" s="445" t="s">
        <v>1344</v>
      </c>
      <c r="P501" s="445" t="s">
        <v>1345</v>
      </c>
      <c r="Q501" s="445" t="s">
        <v>2751</v>
      </c>
    </row>
    <row r="502" spans="2:17">
      <c r="B502" s="504" t="str">
        <f t="shared" si="19"/>
        <v>STRONG spodní šedý</v>
      </c>
      <c r="M502" s="445" t="s">
        <v>1150</v>
      </c>
      <c r="N502" s="445" t="s">
        <v>1346</v>
      </c>
      <c r="O502" s="445" t="s">
        <v>1347</v>
      </c>
      <c r="P502" s="445" t="s">
        <v>1348</v>
      </c>
      <c r="Q502" s="445" t="s">
        <v>2752</v>
      </c>
    </row>
    <row r="503" spans="2:17">
      <c r="B503" s="504" t="str">
        <f t="shared" si="19"/>
        <v xml:space="preserve">HUWIL DUO (90°) </v>
      </c>
      <c r="M503" s="445" t="s">
        <v>1152</v>
      </c>
      <c r="N503" s="445" t="s">
        <v>1152</v>
      </c>
      <c r="O503" s="445" t="s">
        <v>1152</v>
      </c>
      <c r="P503" s="445" t="s">
        <v>1152</v>
      </c>
      <c r="Q503" s="445" t="s">
        <v>852</v>
      </c>
    </row>
    <row r="504" spans="2:17">
      <c r="B504" s="504" t="str">
        <f t="shared" si="19"/>
        <v>HUWIL DUO FORTE</v>
      </c>
      <c r="M504" s="445" t="s">
        <v>1118</v>
      </c>
      <c r="N504" s="445" t="s">
        <v>1118</v>
      </c>
      <c r="O504" s="445" t="s">
        <v>1118</v>
      </c>
      <c r="P504" s="445" t="s">
        <v>1118</v>
      </c>
      <c r="Q504" s="445" t="s">
        <v>1118</v>
      </c>
    </row>
    <row r="505" spans="2:17">
      <c r="B505" s="504" t="str">
        <f t="shared" si="19"/>
        <v>KRABY 164 spodní</v>
      </c>
      <c r="M505" s="445" t="s">
        <v>1155</v>
      </c>
      <c r="N505" s="445" t="s">
        <v>1349</v>
      </c>
      <c r="O505" s="445" t="s">
        <v>1350</v>
      </c>
      <c r="P505" s="445" t="s">
        <v>1351</v>
      </c>
      <c r="Q505" s="445" t="s">
        <v>2567</v>
      </c>
    </row>
    <row r="506" spans="2:17">
      <c r="B506" s="504" t="str">
        <f t="shared" si="19"/>
        <v>KRABY 244 spodní</v>
      </c>
      <c r="M506" s="445" t="s">
        <v>1157</v>
      </c>
      <c r="N506" s="445" t="s">
        <v>1352</v>
      </c>
      <c r="O506" s="445" t="s">
        <v>1353</v>
      </c>
      <c r="P506" s="445" t="s">
        <v>1354</v>
      </c>
      <c r="Q506" s="445" t="s">
        <v>2568</v>
      </c>
    </row>
    <row r="507" spans="2:17">
      <c r="B507" s="504" t="str">
        <f t="shared" si="19"/>
        <v>KRABY 355 spodní</v>
      </c>
      <c r="M507" s="445" t="s">
        <v>1159</v>
      </c>
      <c r="N507" s="445" t="s">
        <v>1355</v>
      </c>
      <c r="O507" s="445" t="s">
        <v>1356</v>
      </c>
      <c r="P507" s="445" t="s">
        <v>1357</v>
      </c>
      <c r="Q507" s="445" t="s">
        <v>2569</v>
      </c>
    </row>
    <row r="508" spans="2:17">
      <c r="B508" s="504" t="str">
        <f t="shared" si="19"/>
        <v>k nasunutí na vrut H0</v>
      </c>
      <c r="M508" s="445" t="s">
        <v>1179</v>
      </c>
      <c r="N508" s="445" t="s">
        <v>1358</v>
      </c>
      <c r="O508" s="445" t="s">
        <v>1359</v>
      </c>
      <c r="P508" s="445" t="s">
        <v>2414</v>
      </c>
      <c r="Q508" s="445" t="s">
        <v>2753</v>
      </c>
    </row>
    <row r="509" spans="2:17">
      <c r="B509" s="504" t="str">
        <f t="shared" si="19"/>
        <v>k nasunutí EURO šroub H0</v>
      </c>
      <c r="M509" s="445" t="s">
        <v>1180</v>
      </c>
      <c r="N509" s="445" t="s">
        <v>1361</v>
      </c>
      <c r="O509" s="445" t="s">
        <v>1362</v>
      </c>
      <c r="P509" s="445" t="s">
        <v>2415</v>
      </c>
      <c r="Q509" s="445" t="s">
        <v>2754</v>
      </c>
    </row>
    <row r="510" spans="2:17">
      <c r="B510" s="504" t="str">
        <f t="shared" si="19"/>
        <v>k nasunutí na vrut H2</v>
      </c>
      <c r="M510" s="445" t="s">
        <v>1181</v>
      </c>
      <c r="N510" s="445" t="s">
        <v>1364</v>
      </c>
      <c r="O510" s="445" t="s">
        <v>1365</v>
      </c>
      <c r="P510" s="445" t="s">
        <v>1366</v>
      </c>
      <c r="Q510" s="445" t="s">
        <v>2755</v>
      </c>
    </row>
    <row r="511" spans="2:17">
      <c r="B511" s="504" t="str">
        <f t="shared" si="19"/>
        <v>k nasunutí EURO šroub H2</v>
      </c>
      <c r="M511" s="445" t="s">
        <v>1182</v>
      </c>
      <c r="N511" s="445" t="s">
        <v>1367</v>
      </c>
      <c r="O511" s="445" t="s">
        <v>1368</v>
      </c>
      <c r="P511" s="445" t="s">
        <v>2416</v>
      </c>
      <c r="Q511" s="445" t="s">
        <v>2756</v>
      </c>
    </row>
    <row r="512" spans="2:17">
      <c r="B512" s="504" t="str">
        <f t="shared" si="19"/>
        <v>Clip na vrut H2</v>
      </c>
      <c r="M512" s="445" t="s">
        <v>212</v>
      </c>
      <c r="N512" s="445" t="s">
        <v>426</v>
      </c>
      <c r="O512" s="445" t="s">
        <v>490</v>
      </c>
      <c r="P512" s="445" t="s">
        <v>566</v>
      </c>
      <c r="Q512" s="445" t="s">
        <v>2654</v>
      </c>
    </row>
    <row r="513" spans="2:17">
      <c r="B513" s="504" t="str">
        <f t="shared" si="19"/>
        <v>Clip vrut s excentrem H0</v>
      </c>
      <c r="M513" s="445" t="s">
        <v>1184</v>
      </c>
      <c r="N513" s="445" t="s">
        <v>1370</v>
      </c>
      <c r="O513" s="445" t="s">
        <v>1371</v>
      </c>
      <c r="P513" s="445" t="s">
        <v>1565</v>
      </c>
      <c r="Q513" s="445" t="s">
        <v>2757</v>
      </c>
    </row>
    <row r="514" spans="2:17">
      <c r="B514" s="504" t="str">
        <f t="shared" si="19"/>
        <v>Clip na vrut H0</v>
      </c>
      <c r="M514" s="445" t="s">
        <v>210</v>
      </c>
      <c r="N514" s="445" t="s">
        <v>442</v>
      </c>
      <c r="O514" s="445" t="s">
        <v>507</v>
      </c>
      <c r="P514" s="445" t="s">
        <v>583</v>
      </c>
      <c r="Q514" s="445" t="s">
        <v>2673</v>
      </c>
    </row>
    <row r="515" spans="2:17">
      <c r="B515" s="504" t="str">
        <f t="shared" si="19"/>
        <v>Minimální možný rozměr rámečku je 140x140mm</v>
      </c>
      <c r="M515" s="445" t="s">
        <v>1377</v>
      </c>
      <c r="N515" s="445" t="s">
        <v>1378</v>
      </c>
      <c r="O515" s="445" t="s">
        <v>1379</v>
      </c>
      <c r="P515" s="445" t="s">
        <v>1380</v>
      </c>
      <c r="Q515" s="445" t="s">
        <v>1957</v>
      </c>
    </row>
    <row r="516" spans="2:17">
      <c r="B516" s="504" t="str">
        <f t="shared" si="19"/>
        <v xml:space="preserve">Sensys SiSy naložený </v>
      </c>
      <c r="M516" s="468" t="s">
        <v>1382</v>
      </c>
      <c r="N516" s="445" t="s">
        <v>1382</v>
      </c>
      <c r="O516" s="445" t="s">
        <v>1525</v>
      </c>
      <c r="P516" s="445" t="s">
        <v>1526</v>
      </c>
      <c r="Q516" s="445" t="s">
        <v>2758</v>
      </c>
    </row>
    <row r="517" spans="2:17">
      <c r="B517" s="504" t="str">
        <f t="shared" si="19"/>
        <v xml:space="preserve">Sensys SiSy polonaložený </v>
      </c>
      <c r="M517" s="468" t="s">
        <v>1383</v>
      </c>
      <c r="N517" s="445" t="s">
        <v>1383</v>
      </c>
      <c r="O517" s="445" t="s">
        <v>1533</v>
      </c>
      <c r="P517" s="445" t="s">
        <v>2417</v>
      </c>
      <c r="Q517" s="445" t="s">
        <v>2759</v>
      </c>
    </row>
    <row r="518" spans="2:17">
      <c r="B518" s="504" t="str">
        <f t="shared" si="19"/>
        <v xml:space="preserve">Sensys SiSy vložený </v>
      </c>
      <c r="M518" s="468" t="s">
        <v>1384</v>
      </c>
      <c r="N518" s="445" t="s">
        <v>1552</v>
      </c>
      <c r="O518" s="445" t="s">
        <v>1553</v>
      </c>
      <c r="P518" s="445" t="s">
        <v>2418</v>
      </c>
      <c r="Q518" s="445" t="s">
        <v>2760</v>
      </c>
    </row>
    <row r="519" spans="2:17">
      <c r="B519" s="504" t="str">
        <f t="shared" si="19"/>
        <v xml:space="preserve">Sensys P2o naložený </v>
      </c>
      <c r="M519" s="468" t="s">
        <v>1385</v>
      </c>
      <c r="N519" s="445" t="s">
        <v>1385</v>
      </c>
      <c r="O519" s="445" t="s">
        <v>1527</v>
      </c>
      <c r="P519" s="445" t="s">
        <v>1528</v>
      </c>
      <c r="Q519" s="445" t="s">
        <v>2761</v>
      </c>
    </row>
    <row r="520" spans="2:17">
      <c r="B520" s="504" t="str">
        <f t="shared" si="19"/>
        <v xml:space="preserve">Sensys P2o polonaložený </v>
      </c>
      <c r="M520" s="468" t="s">
        <v>1386</v>
      </c>
      <c r="N520" s="445" t="s">
        <v>1386</v>
      </c>
      <c r="O520" s="445" t="s">
        <v>1535</v>
      </c>
      <c r="P520" s="445" t="s">
        <v>2419</v>
      </c>
      <c r="Q520" s="445" t="s">
        <v>2762</v>
      </c>
    </row>
    <row r="521" spans="2:17">
      <c r="B521" s="504" t="str">
        <f t="shared" si="19"/>
        <v xml:space="preserve">Sensys P2o vložený </v>
      </c>
      <c r="M521" s="468" t="s">
        <v>1387</v>
      </c>
      <c r="N521" s="445" t="s">
        <v>1555</v>
      </c>
      <c r="O521" s="445" t="s">
        <v>1556</v>
      </c>
      <c r="P521" s="445" t="s">
        <v>2420</v>
      </c>
      <c r="Q521" s="445" t="s">
        <v>2763</v>
      </c>
    </row>
    <row r="522" spans="2:17">
      <c r="B522" s="504" t="str">
        <f t="shared" si="19"/>
        <v>Sensys naložený P2O</v>
      </c>
      <c r="M522" s="468" t="s">
        <v>1388</v>
      </c>
      <c r="N522" s="445" t="s">
        <v>1385</v>
      </c>
      <c r="O522" s="445" t="s">
        <v>1527</v>
      </c>
      <c r="P522" s="445" t="s">
        <v>1528</v>
      </c>
      <c r="Q522" s="445" t="s">
        <v>2764</v>
      </c>
    </row>
    <row r="523" spans="2:17">
      <c r="B523" s="504" t="str">
        <f t="shared" si="19"/>
        <v>naložený s tlumením clip 110°, ONYX</v>
      </c>
      <c r="M523" s="445" t="s">
        <v>1389</v>
      </c>
      <c r="N523" s="445" t="s">
        <v>1529</v>
      </c>
      <c r="O523" s="445" t="s">
        <v>1530</v>
      </c>
      <c r="P523" s="445" t="s">
        <v>1549</v>
      </c>
      <c r="Q523" s="445" t="s">
        <v>2765</v>
      </c>
    </row>
    <row r="524" spans="2:17">
      <c r="B524" s="504" t="str">
        <f t="shared" si="19"/>
        <v>polonaložený s tlumením clip 110°, ONYX</v>
      </c>
      <c r="M524" s="445" t="s">
        <v>1390</v>
      </c>
      <c r="N524" s="445" t="s">
        <v>1531</v>
      </c>
      <c r="O524" s="445" t="s">
        <v>1532</v>
      </c>
      <c r="P524" s="445" t="s">
        <v>2421</v>
      </c>
      <c r="Q524" s="445" t="s">
        <v>2766</v>
      </c>
    </row>
    <row r="525" spans="2:17">
      <c r="B525" s="504" t="str">
        <f t="shared" si="19"/>
        <v>vložený s tlumením clip 110°, ONYX</v>
      </c>
      <c r="M525" s="445" t="s">
        <v>1391</v>
      </c>
      <c r="N525" s="445" t="s">
        <v>1558</v>
      </c>
      <c r="O525" s="445" t="s">
        <v>1559</v>
      </c>
      <c r="P525" s="445" t="s">
        <v>2422</v>
      </c>
      <c r="Q525" s="445" t="s">
        <v>2767</v>
      </c>
    </row>
    <row r="526" spans="2:17">
      <c r="B526" s="504" t="str">
        <f t="shared" si="19"/>
        <v>naložený 95°, Onyx</v>
      </c>
      <c r="M526" s="445" t="s">
        <v>1392</v>
      </c>
      <c r="N526" s="445" t="s">
        <v>1537</v>
      </c>
      <c r="O526" s="445" t="s">
        <v>1538</v>
      </c>
      <c r="P526" s="445" t="s">
        <v>1551</v>
      </c>
      <c r="Q526" s="445" t="s">
        <v>2768</v>
      </c>
    </row>
    <row r="527" spans="2:17">
      <c r="B527" s="504" t="str">
        <f t="shared" si="19"/>
        <v>StrongHinges S3</v>
      </c>
      <c r="M527" s="445" t="s">
        <v>4147</v>
      </c>
      <c r="N527" s="445" t="s">
        <v>4147</v>
      </c>
      <c r="O527" s="445" t="s">
        <v>4147</v>
      </c>
      <c r="P527" s="445" t="s">
        <v>4147</v>
      </c>
      <c r="Q527" s="445" t="s">
        <v>4147</v>
      </c>
    </row>
    <row r="528" spans="2:17">
      <c r="B528" s="504" t="str">
        <f t="shared" si="19"/>
        <v>StrongHinges S3 naložený clip bez pružiny</v>
      </c>
      <c r="M528" s="445" t="s">
        <v>4148</v>
      </c>
      <c r="N528" s="445" t="s">
        <v>4149</v>
      </c>
      <c r="O528" s="445" t="s">
        <v>4150</v>
      </c>
      <c r="P528" s="445" t="s">
        <v>4151</v>
      </c>
      <c r="Q528" s="445" t="s">
        <v>4152</v>
      </c>
    </row>
    <row r="529" spans="2:17">
      <c r="B529" s="504" t="str">
        <f t="shared" si="19"/>
        <v>StrongHinges S3 naložený clip bez pružiny</v>
      </c>
      <c r="M529" s="445" t="s">
        <v>4148</v>
      </c>
      <c r="N529" s="445" t="s">
        <v>4153</v>
      </c>
      <c r="O529" s="445" t="s">
        <v>4150</v>
      </c>
      <c r="P529" s="445" t="s">
        <v>4151</v>
      </c>
      <c r="Q529" s="445" t="s">
        <v>4152</v>
      </c>
    </row>
    <row r="530" spans="2:17">
      <c r="B530" s="504" t="str">
        <f t="shared" si="19"/>
        <v>StorngHinges vložený clip bez pružiny</v>
      </c>
      <c r="M530" s="445" t="s">
        <v>3742</v>
      </c>
      <c r="N530" s="445" t="s">
        <v>4154</v>
      </c>
      <c r="O530" s="445" t="s">
        <v>4155</v>
      </c>
      <c r="P530" s="445" t="s">
        <v>4156</v>
      </c>
      <c r="Q530" s="445" t="s">
        <v>3743</v>
      </c>
    </row>
    <row r="531" spans="2:17">
      <c r="B531" s="504" t="str">
        <f t="shared" si="19"/>
        <v>StrongHinges S3 30° clip bez pružiny</v>
      </c>
      <c r="M531" s="445" t="s">
        <v>4157</v>
      </c>
      <c r="N531" s="445" t="s">
        <v>4158</v>
      </c>
      <c r="O531" s="445" t="s">
        <v>4159</v>
      </c>
      <c r="P531" s="445" t="s">
        <v>4160</v>
      </c>
      <c r="Q531" s="445" t="s">
        <v>4161</v>
      </c>
    </row>
    <row r="532" spans="2:17">
      <c r="B532" s="504" t="str">
        <f t="shared" si="19"/>
        <v>StrongHinges S3 naložený clip</v>
      </c>
      <c r="M532" s="445" t="s">
        <v>4162</v>
      </c>
      <c r="N532" s="445" t="s">
        <v>4162</v>
      </c>
      <c r="O532" s="445" t="s">
        <v>4163</v>
      </c>
      <c r="P532" s="445" t="s">
        <v>4164</v>
      </c>
      <c r="Q532" s="445" t="s">
        <v>4165</v>
      </c>
    </row>
    <row r="533" spans="2:17">
      <c r="B533" s="504" t="str">
        <f t="shared" si="19"/>
        <v>StrongHinges S3 polonaložený clip</v>
      </c>
      <c r="M533" s="445" t="s">
        <v>4166</v>
      </c>
      <c r="N533" s="445" t="s">
        <v>4166</v>
      </c>
      <c r="O533" s="445" t="s">
        <v>4167</v>
      </c>
      <c r="P533" s="445" t="s">
        <v>4168</v>
      </c>
      <c r="Q533" s="445" t="s">
        <v>4169</v>
      </c>
    </row>
    <row r="534" spans="2:17">
      <c r="B534" s="504" t="str">
        <f t="shared" si="19"/>
        <v>StrongHinges S3 vložený clip</v>
      </c>
      <c r="M534" s="445" t="s">
        <v>4170</v>
      </c>
      <c r="N534" s="445" t="s">
        <v>4170</v>
      </c>
      <c r="O534" s="445" t="s">
        <v>4171</v>
      </c>
      <c r="P534" s="445" t="s">
        <v>4172</v>
      </c>
      <c r="Q534" s="445" t="s">
        <v>4173</v>
      </c>
    </row>
    <row r="535" spans="2:17">
      <c r="B535" s="504" t="str">
        <f t="shared" si="19"/>
        <v>StrongHinges S3 30°clip</v>
      </c>
      <c r="M535" s="445" t="s">
        <v>4174</v>
      </c>
      <c r="N535" s="445" t="s">
        <v>4174</v>
      </c>
      <c r="O535" s="445" t="s">
        <v>4174</v>
      </c>
      <c r="P535" s="445" t="s">
        <v>4174</v>
      </c>
      <c r="Q535" s="445" t="s">
        <v>4175</v>
      </c>
    </row>
    <row r="536" spans="2:17">
      <c r="B536" s="504" t="str">
        <f t="shared" si="19"/>
        <v>StrongHinges S3 naložený clip</v>
      </c>
      <c r="M536" s="445" t="s">
        <v>4162</v>
      </c>
      <c r="N536" s="445" t="s">
        <v>4162</v>
      </c>
      <c r="O536" s="445" t="s">
        <v>4163</v>
      </c>
      <c r="P536" s="445" t="s">
        <v>4164</v>
      </c>
      <c r="Q536" s="445" t="s">
        <v>4165</v>
      </c>
    </row>
    <row r="537" spans="2:17">
      <c r="B537" s="504" t="str">
        <f t="shared" si="19"/>
        <v>StrongHinges S3 naložený clip bez pružiny</v>
      </c>
      <c r="M537" s="445" t="s">
        <v>4148</v>
      </c>
      <c r="N537" s="445" t="s">
        <v>4149</v>
      </c>
      <c r="O537" s="445" t="s">
        <v>4150</v>
      </c>
      <c r="P537" s="445" t="s">
        <v>4151</v>
      </c>
      <c r="Q537" s="445" t="s">
        <v>4152</v>
      </c>
    </row>
    <row r="538" spans="2:17">
      <c r="B538" s="504" t="str">
        <f t="shared" si="19"/>
        <v>StrongHinges S3 Clip vrut s excentrem H0</v>
      </c>
      <c r="M538" s="445" t="s">
        <v>4176</v>
      </c>
      <c r="N538" s="445" t="s">
        <v>4177</v>
      </c>
      <c r="O538" s="445" t="s">
        <v>4178</v>
      </c>
      <c r="P538" s="445" t="s">
        <v>4179</v>
      </c>
      <c r="Q538" s="445" t="s">
        <v>4180</v>
      </c>
    </row>
    <row r="539" spans="2:17">
      <c r="B539" s="504" t="str">
        <f t="shared" si="19"/>
        <v>StrongHinges S3 Clip vrut s excentrem H2</v>
      </c>
      <c r="M539" s="445" t="s">
        <v>4181</v>
      </c>
      <c r="N539" s="445" t="s">
        <v>4182</v>
      </c>
      <c r="O539" s="445" t="s">
        <v>4183</v>
      </c>
      <c r="P539" s="445" t="s">
        <v>4184</v>
      </c>
      <c r="Q539" s="445" t="s">
        <v>4185</v>
      </c>
    </row>
    <row r="540" spans="2:17">
      <c r="B540" s="504" t="str">
        <f t="shared" si="19"/>
        <v>Úvod</v>
      </c>
      <c r="M540" s="445" t="s">
        <v>1566</v>
      </c>
      <c r="N540" s="445" t="s">
        <v>1566</v>
      </c>
      <c r="O540" s="445" t="s">
        <v>1567</v>
      </c>
      <c r="P540" s="445" t="s">
        <v>2423</v>
      </c>
      <c r="Q540" s="445" t="s">
        <v>1975</v>
      </c>
    </row>
    <row r="541" spans="2:17">
      <c r="B541" s="504" t="str">
        <f t="shared" si="19"/>
        <v>Maximální možný rozměr rámečku Corleone je 1500x600mm</v>
      </c>
      <c r="M541" s="487" t="s">
        <v>1579</v>
      </c>
      <c r="N541" s="445" t="s">
        <v>1580</v>
      </c>
      <c r="O541" s="445" t="s">
        <v>1581</v>
      </c>
      <c r="P541" s="445" t="s">
        <v>1582</v>
      </c>
      <c r="Q541" s="445" t="s">
        <v>2769</v>
      </c>
    </row>
    <row r="542" spans="2:17">
      <c r="B542" s="504" t="str">
        <f t="shared" si="19"/>
        <v>Kombinace 2 profilů</v>
      </c>
      <c r="M542" s="445" t="s">
        <v>2061</v>
      </c>
      <c r="N542" s="445" t="s">
        <v>2192</v>
      </c>
      <c r="O542" s="445" t="s">
        <v>2193</v>
      </c>
      <c r="P542" s="445" t="s">
        <v>2194</v>
      </c>
      <c r="Q542" s="445" t="s">
        <v>2770</v>
      </c>
    </row>
    <row r="543" spans="2:17">
      <c r="B543" s="504" t="str">
        <f t="shared" si="19"/>
        <v>Dělící lišty</v>
      </c>
      <c r="M543" s="445" t="s">
        <v>2195</v>
      </c>
      <c r="N543" s="445" t="s">
        <v>2197</v>
      </c>
      <c r="O543" s="445" t="s">
        <v>1986</v>
      </c>
      <c r="P543" s="445" t="s">
        <v>2196</v>
      </c>
      <c r="Q543" s="445" t="s">
        <v>2570</v>
      </c>
    </row>
    <row r="544" spans="2:17">
      <c r="B544" s="504" t="str">
        <f t="shared" si="19"/>
        <v>Značka kování</v>
      </c>
      <c r="M544" s="445" t="s">
        <v>2063</v>
      </c>
      <c r="N544" s="445" t="s">
        <v>2198</v>
      </c>
      <c r="O544" s="445" t="s">
        <v>2199</v>
      </c>
      <c r="P544" s="445" t="s">
        <v>2424</v>
      </c>
      <c r="Q544" s="445" t="s">
        <v>2588</v>
      </c>
    </row>
    <row r="545" spans="2:17">
      <c r="B545" s="504" t="str">
        <f t="shared" si="19"/>
        <v>Varianta kování</v>
      </c>
      <c r="M545" s="445" t="s">
        <v>2064</v>
      </c>
      <c r="N545" s="445" t="s">
        <v>2201</v>
      </c>
      <c r="O545" s="445" t="s">
        <v>2200</v>
      </c>
      <c r="P545" s="445" t="s">
        <v>2425</v>
      </c>
      <c r="Q545" s="445" t="s">
        <v>2587</v>
      </c>
    </row>
    <row r="546" spans="2:17">
      <c r="B546" s="504" t="str">
        <f t="shared" si="19"/>
        <v>Naložení</v>
      </c>
      <c r="M546" s="445" t="s">
        <v>2174</v>
      </c>
      <c r="N546" s="445" t="s">
        <v>2202</v>
      </c>
      <c r="O546" s="445" t="s">
        <v>2475</v>
      </c>
      <c r="P546" s="445" t="s">
        <v>2203</v>
      </c>
      <c r="Q546" s="445" t="s">
        <v>2571</v>
      </c>
    </row>
    <row r="547" spans="2:17">
      <c r="B547" s="504" t="str">
        <f t="shared" si="19"/>
        <v>Závěsy k výklopu</v>
      </c>
      <c r="M547" s="445" t="s">
        <v>3677</v>
      </c>
      <c r="N547" s="445" t="s">
        <v>2204</v>
      </c>
      <c r="O547" s="445" t="s">
        <v>2476</v>
      </c>
      <c r="P547" s="445" t="s">
        <v>2426</v>
      </c>
      <c r="Q547" s="445" t="s">
        <v>2771</v>
      </c>
    </row>
    <row r="548" spans="2:17">
      <c r="B548" s="504" t="str">
        <f t="shared" si="19"/>
        <v>Rozteč</v>
      </c>
      <c r="M548" s="445" t="s">
        <v>2207</v>
      </c>
      <c r="N548" s="445" t="s">
        <v>2207</v>
      </c>
      <c r="O548" s="445" t="s">
        <v>2208</v>
      </c>
      <c r="P548" s="445" t="s">
        <v>2209</v>
      </c>
      <c r="Q548" s="445" t="s">
        <v>2572</v>
      </c>
    </row>
    <row r="549" spans="2:17">
      <c r="B549" s="504" t="str">
        <f t="shared" si="19"/>
        <v>Rozteč úchytky (mm)</v>
      </c>
      <c r="M549" s="445" t="s">
        <v>2508</v>
      </c>
      <c r="N549" s="445" t="s">
        <v>2509</v>
      </c>
      <c r="O549" s="445" t="s">
        <v>2510</v>
      </c>
      <c r="P549" s="445" t="s">
        <v>2511</v>
      </c>
      <c r="Q549" s="445" t="s">
        <v>2590</v>
      </c>
    </row>
    <row r="550" spans="2:17">
      <c r="B550" s="504" t="str">
        <f t="shared" si="19"/>
        <v>Umístění úchytky</v>
      </c>
      <c r="M550" s="445" t="s">
        <v>2096</v>
      </c>
      <c r="N550" s="445" t="s">
        <v>2205</v>
      </c>
      <c r="O550" s="445" t="s">
        <v>2477</v>
      </c>
      <c r="P550" s="445" t="s">
        <v>2206</v>
      </c>
      <c r="Q550" s="445" t="s">
        <v>2591</v>
      </c>
    </row>
    <row r="551" spans="2:17">
      <c r="B551" s="504" t="str">
        <f t="shared" ref="B551:B614" si="20">IF($D$1=1,M551,IF($D$1=2,N551,IF($D$1=3,O551,IF($D$1=4,P551,IF($D$1=5,Q551,0)))))</f>
        <v>Závěsy</v>
      </c>
      <c r="M551" s="445" t="s">
        <v>728</v>
      </c>
      <c r="N551" s="445" t="s">
        <v>729</v>
      </c>
      <c r="O551" s="445" t="s">
        <v>730</v>
      </c>
      <c r="P551" s="445" t="s">
        <v>731</v>
      </c>
      <c r="Q551" s="445" t="s">
        <v>2643</v>
      </c>
    </row>
    <row r="552" spans="2:17">
      <c r="B552" s="504" t="str">
        <f t="shared" si="20"/>
        <v>Výklopy</v>
      </c>
      <c r="M552" s="445" t="s">
        <v>1078</v>
      </c>
      <c r="N552" s="445" t="s">
        <v>1078</v>
      </c>
      <c r="O552" s="445" t="s">
        <v>2233</v>
      </c>
      <c r="P552" s="445" t="s">
        <v>2234</v>
      </c>
      <c r="Q552" s="445" t="s">
        <v>2772</v>
      </c>
    </row>
    <row r="553" spans="2:17">
      <c r="B553" s="504" t="str">
        <f t="shared" si="20"/>
        <v>Naložený</v>
      </c>
      <c r="M553" s="487" t="s">
        <v>125</v>
      </c>
      <c r="N553" s="445" t="s">
        <v>125</v>
      </c>
      <c r="O553" s="445" t="s">
        <v>485</v>
      </c>
      <c r="P553" s="445" t="s">
        <v>561</v>
      </c>
      <c r="Q553" s="445" t="s">
        <v>2800</v>
      </c>
    </row>
    <row r="554" spans="2:17">
      <c r="B554" s="504" t="str">
        <f t="shared" si="20"/>
        <v>Polonaložený</v>
      </c>
      <c r="M554" s="487" t="s">
        <v>126</v>
      </c>
      <c r="N554" s="445" t="s">
        <v>126</v>
      </c>
      <c r="O554" s="445" t="s">
        <v>486</v>
      </c>
      <c r="P554" s="445" t="s">
        <v>2376</v>
      </c>
      <c r="Q554" s="445" t="s">
        <v>2651</v>
      </c>
    </row>
    <row r="555" spans="2:17">
      <c r="B555" s="504" t="str">
        <f t="shared" si="20"/>
        <v>Vložený</v>
      </c>
      <c r="M555" s="487" t="s">
        <v>127</v>
      </c>
      <c r="N555" s="445" t="s">
        <v>127</v>
      </c>
      <c r="O555" s="445" t="s">
        <v>2235</v>
      </c>
      <c r="P555" s="445" t="s">
        <v>2377</v>
      </c>
      <c r="Q555" s="445" t="s">
        <v>1781</v>
      </c>
    </row>
    <row r="556" spans="2:17">
      <c r="B556" s="504" t="str">
        <f t="shared" si="20"/>
        <v>Ano</v>
      </c>
      <c r="M556" s="487" t="s">
        <v>2270</v>
      </c>
      <c r="N556" s="445" t="s">
        <v>2276</v>
      </c>
      <c r="O556" s="445" t="s">
        <v>2275</v>
      </c>
      <c r="P556" s="445" t="s">
        <v>2272</v>
      </c>
      <c r="Q556" s="445" t="s">
        <v>2573</v>
      </c>
    </row>
    <row r="557" spans="2:17">
      <c r="B557" s="504" t="str">
        <f t="shared" si="20"/>
        <v>Ne</v>
      </c>
      <c r="M557" s="487" t="s">
        <v>2271</v>
      </c>
      <c r="N557" s="445" t="s">
        <v>2274</v>
      </c>
      <c r="O557" s="445" t="s">
        <v>2274</v>
      </c>
      <c r="P557" s="445" t="s">
        <v>2273</v>
      </c>
      <c r="Q557" s="445" t="s">
        <v>2574</v>
      </c>
    </row>
    <row r="558" spans="2:17">
      <c r="B558" s="504" t="str">
        <f t="shared" si="20"/>
        <v>Horizontálně</v>
      </c>
      <c r="M558" s="487" t="s">
        <v>2009</v>
      </c>
      <c r="N558" s="445" t="s">
        <v>2278</v>
      </c>
      <c r="O558" s="445" t="s">
        <v>2281</v>
      </c>
      <c r="P558" s="445" t="s">
        <v>2284</v>
      </c>
      <c r="Q558" s="445" t="s">
        <v>2773</v>
      </c>
    </row>
    <row r="559" spans="2:17">
      <c r="B559" s="504" t="str">
        <f t="shared" si="20"/>
        <v>Vertikálně</v>
      </c>
      <c r="M559" s="487" t="s">
        <v>2006</v>
      </c>
      <c r="N559" s="445" t="s">
        <v>2279</v>
      </c>
      <c r="O559" s="445" t="s">
        <v>2282</v>
      </c>
      <c r="P559" s="445" t="s">
        <v>2285</v>
      </c>
      <c r="Q559" s="445" t="s">
        <v>2575</v>
      </c>
    </row>
    <row r="560" spans="2:17">
      <c r="B560" s="504" t="str">
        <f t="shared" si="20"/>
        <v>Horizontálně i Vertikálně</v>
      </c>
      <c r="M560" s="487" t="s">
        <v>2277</v>
      </c>
      <c r="N560" s="445" t="s">
        <v>2280</v>
      </c>
      <c r="O560" s="445" t="s">
        <v>2283</v>
      </c>
      <c r="P560" s="445" t="s">
        <v>2286</v>
      </c>
      <c r="Q560" s="445" t="s">
        <v>2576</v>
      </c>
    </row>
    <row r="561" spans="2:17">
      <c r="B561" s="504" t="str">
        <f t="shared" si="20"/>
        <v>Rámeček složený ze dvou různých profilů</v>
      </c>
      <c r="M561" s="445" t="s">
        <v>2062</v>
      </c>
      <c r="N561" s="445" t="s">
        <v>2287</v>
      </c>
      <c r="O561" s="445" t="s">
        <v>2478</v>
      </c>
      <c r="P561" s="445" t="s">
        <v>2288</v>
      </c>
      <c r="Q561" s="445" t="s">
        <v>2774</v>
      </c>
    </row>
    <row r="562" spans="2:17">
      <c r="B562" s="504" t="str">
        <f t="shared" si="20"/>
        <v>Typ folie</v>
      </c>
      <c r="M562" s="487" t="s">
        <v>1996</v>
      </c>
      <c r="N562" s="445" t="s">
        <v>2315</v>
      </c>
      <c r="O562" s="445" t="s">
        <v>2316</v>
      </c>
      <c r="P562" s="445" t="s">
        <v>2317</v>
      </c>
      <c r="Q562" s="445" t="s">
        <v>2775</v>
      </c>
    </row>
    <row r="563" spans="2:17">
      <c r="B563" s="504" t="str">
        <f t="shared" si="20"/>
        <v>Transparentní</v>
      </c>
      <c r="M563" s="445" t="s">
        <v>2007</v>
      </c>
      <c r="N563" s="445" t="s">
        <v>2318</v>
      </c>
      <c r="O563" s="445" t="s">
        <v>2479</v>
      </c>
      <c r="P563" s="445" t="s">
        <v>2321</v>
      </c>
      <c r="Q563" s="445" t="s">
        <v>2577</v>
      </c>
    </row>
    <row r="564" spans="2:17">
      <c r="B564" s="504" t="str">
        <f t="shared" si="20"/>
        <v>Bílá</v>
      </c>
      <c r="M564" s="445" t="s">
        <v>2010</v>
      </c>
      <c r="N564" s="445" t="s">
        <v>2319</v>
      </c>
      <c r="O564" s="445" t="s">
        <v>2480</v>
      </c>
      <c r="P564" s="445" t="s">
        <v>2427</v>
      </c>
      <c r="Q564" s="445" t="s">
        <v>2578</v>
      </c>
    </row>
    <row r="565" spans="2:17">
      <c r="B565" s="504" t="str">
        <f t="shared" si="20"/>
        <v>Černá</v>
      </c>
      <c r="M565" s="445" t="s">
        <v>2013</v>
      </c>
      <c r="N565" s="445" t="s">
        <v>2320</v>
      </c>
      <c r="O565" s="445" t="s">
        <v>2481</v>
      </c>
      <c r="P565" s="445" t="s">
        <v>2322</v>
      </c>
      <c r="Q565" s="445" t="s">
        <v>2579</v>
      </c>
    </row>
    <row r="566" spans="2:17">
      <c r="B566" s="504" t="str">
        <f t="shared" si="20"/>
        <v>Dále</v>
      </c>
      <c r="M566" s="445" t="s">
        <v>2330</v>
      </c>
      <c r="N566" s="445" t="s">
        <v>2331</v>
      </c>
      <c r="O566" s="445" t="s">
        <v>2482</v>
      </c>
      <c r="P566" s="445" t="s">
        <v>2332</v>
      </c>
      <c r="Q566" s="445" t="s">
        <v>2580</v>
      </c>
    </row>
    <row r="567" spans="2:17">
      <c r="B567" s="504" t="str">
        <f t="shared" si="20"/>
        <v>Souhrn</v>
      </c>
      <c r="M567" s="445" t="s">
        <v>2190</v>
      </c>
      <c r="N567" s="445" t="s">
        <v>2335</v>
      </c>
      <c r="O567" s="445" t="s">
        <v>2333</v>
      </c>
      <c r="P567" s="445" t="s">
        <v>2334</v>
      </c>
      <c r="Q567" s="445" t="s">
        <v>2581</v>
      </c>
    </row>
    <row r="568" spans="2:17">
      <c r="B568" s="504" t="str">
        <f t="shared" si="20"/>
        <v>Varna elox (Vlevo a Vpravo) + Siena elox (Nahoře a dole)</v>
      </c>
      <c r="M568" s="445" t="str">
        <f>$B$77</f>
        <v>Varna elox (Vlevo a Vpravo) + Siena elox (Nahoře a dole)</v>
      </c>
      <c r="Q568" s="445" t="s">
        <v>4127</v>
      </c>
    </row>
    <row r="569" spans="2:17">
      <c r="B569" s="504" t="str">
        <f t="shared" si="20"/>
        <v>Varna elox (Vlevo a Vpravo) + Palio elox (Nahoře a dole)</v>
      </c>
      <c r="M569" s="445" t="str">
        <f>$B$81</f>
        <v>Varna elox (Vlevo a Vpravo) + Palio elox (Nahoře a dole)</v>
      </c>
      <c r="Q569" s="445" t="s">
        <v>4128</v>
      </c>
    </row>
    <row r="570" spans="2:17">
      <c r="B570" s="504" t="str">
        <f t="shared" si="20"/>
        <v>Varna elox (Vlevo a Vpravo) + Rocca elox (Nahoře a dole)</v>
      </c>
      <c r="M570" s="445" t="str">
        <f>$B$83</f>
        <v>Varna elox (Vlevo a Vpravo) + Rocca elox (Nahoře a dole)</v>
      </c>
      <c r="Q570" s="445" t="s">
        <v>4129</v>
      </c>
    </row>
    <row r="571" spans="2:17">
      <c r="B571" s="504" t="str">
        <f t="shared" si="20"/>
        <v>Pohled na předěly je jen ilustrativní a nezobrazuje zvolený počet ks. předělů horizontálně / vertikálně.</v>
      </c>
      <c r="M571" s="445" t="s">
        <v>2336</v>
      </c>
      <c r="Q571" s="445" t="s">
        <v>2776</v>
      </c>
    </row>
    <row r="572" spans="2:17">
      <c r="B572" s="504" t="str">
        <f t="shared" si="20"/>
        <v>Upozornění</v>
      </c>
      <c r="M572" s="445" t="s">
        <v>2340</v>
      </c>
      <c r="N572" s="445" t="s">
        <v>2341</v>
      </c>
      <c r="O572" s="445" t="s">
        <v>2343</v>
      </c>
      <c r="P572" s="445" t="s">
        <v>2342</v>
      </c>
      <c r="Q572" s="445" t="s">
        <v>2582</v>
      </c>
    </row>
    <row r="573" spans="2:17">
      <c r="B573" s="504" t="str">
        <f t="shared" si="20"/>
        <v>Již neměnit po tom co vyberete</v>
      </c>
      <c r="M573" s="445" t="s">
        <v>2483</v>
      </c>
      <c r="N573" s="445" t="s">
        <v>2484</v>
      </c>
      <c r="O573" s="445" t="s">
        <v>2485</v>
      </c>
      <c r="P573" s="445" t="s">
        <v>2486</v>
      </c>
      <c r="Q573" s="445" t="s">
        <v>2777</v>
      </c>
    </row>
    <row r="574" spans="2:17">
      <c r="B574" s="504" t="str">
        <f t="shared" si="20"/>
        <v>Zpět</v>
      </c>
      <c r="M574" s="445" t="s">
        <v>2487</v>
      </c>
      <c r="N574" s="445" t="s">
        <v>2490</v>
      </c>
      <c r="O574" s="445" t="s">
        <v>2489</v>
      </c>
      <c r="P574" s="445" t="s">
        <v>2488</v>
      </c>
      <c r="Q574" s="445" t="s">
        <v>2583</v>
      </c>
    </row>
    <row r="575" spans="2:17">
      <c r="B575" s="504" t="str">
        <f t="shared" si="20"/>
        <v>Standardní vzdálenost závěsů od okraje je nastavena na 100mm (minimální  80mm). V případě potřeby změnit rozteč mezi jednotlivými závěsy, prosím, uveďte do poznámky (v mm).</v>
      </c>
      <c r="M575" s="445" t="s">
        <v>2496</v>
      </c>
      <c r="N575" s="445" t="s">
        <v>2497</v>
      </c>
      <c r="O575" s="445" t="s">
        <v>2498</v>
      </c>
      <c r="P575" s="445" t="s">
        <v>3314</v>
      </c>
      <c r="Q575" s="445" t="s">
        <v>2778</v>
      </c>
    </row>
    <row r="576" spans="2:17" ht="150">
      <c r="B576" s="504" t="str">
        <f t="shared" si="20"/>
        <v>Do zelených buněk upřesněte vzdálenost vrtání úchytky od kraje rámečku.
Pokud požadujete vrtání úchytky na střed rámečku a do středu profilu, vepište prosím do zelených buněk "x".</v>
      </c>
      <c r="M576" s="537" t="s">
        <v>2836</v>
      </c>
      <c r="N576" s="537" t="s">
        <v>3171</v>
      </c>
      <c r="O576" s="537" t="s">
        <v>3172</v>
      </c>
      <c r="P576" s="537" t="s">
        <v>3312</v>
      </c>
      <c r="Q576" s="537" t="s">
        <v>2837</v>
      </c>
    </row>
    <row r="577" spans="2:17">
      <c r="B577" s="504" t="str">
        <f t="shared" si="20"/>
        <v>Při použití pantů je doporučený rozměr 600 mm.</v>
      </c>
      <c r="M577" s="445" t="s">
        <v>2592</v>
      </c>
      <c r="N577" s="445" t="s">
        <v>2594</v>
      </c>
      <c r="O577" s="445" t="s">
        <v>2593</v>
      </c>
      <c r="P577" s="445" t="s">
        <v>3313</v>
      </c>
      <c r="Q577" s="445" t="s">
        <v>2595</v>
      </c>
    </row>
    <row r="578" spans="2:17">
      <c r="B578" s="504" t="str">
        <f t="shared" si="20"/>
        <v>Varna černá výrobce doporučuje délku max. 1200 mm</v>
      </c>
      <c r="M578" s="445" t="s">
        <v>2612</v>
      </c>
      <c r="N578" s="445" t="s">
        <v>2613</v>
      </c>
      <c r="O578" s="445" t="s">
        <v>2614</v>
      </c>
      <c r="P578" s="445" t="s">
        <v>2616</v>
      </c>
      <c r="Q578" s="445" t="s">
        <v>2618</v>
      </c>
    </row>
    <row r="579" spans="2:17">
      <c r="B579" s="504" t="str">
        <f t="shared" si="20"/>
        <v>Varna černá výrobce doporučuje délku max. 1200 mm</v>
      </c>
      <c r="M579" s="445" t="s">
        <v>2612</v>
      </c>
      <c r="N579" s="445" t="s">
        <v>2620</v>
      </c>
      <c r="O579" s="445" t="s">
        <v>2614</v>
      </c>
      <c r="P579" s="445" t="s">
        <v>2616</v>
      </c>
      <c r="Q579" s="445" t="s">
        <v>2618</v>
      </c>
    </row>
    <row r="580" spans="2:17">
      <c r="B580" s="504" t="str">
        <f t="shared" si="20"/>
        <v>Rocca černá délka max. 2150 mm/ Varna černá délka max. 1200 mm</v>
      </c>
      <c r="M580" s="445" t="s">
        <v>2621</v>
      </c>
      <c r="N580" s="445" t="s">
        <v>2611</v>
      </c>
      <c r="O580" s="445" t="s">
        <v>2615</v>
      </c>
      <c r="P580" s="445" t="s">
        <v>2617</v>
      </c>
      <c r="Q580" s="445" t="s">
        <v>2619</v>
      </c>
    </row>
    <row r="581" spans="2:17">
      <c r="B581" s="504" t="str">
        <f t="shared" si="20"/>
        <v>Objednávka skla</v>
      </c>
      <c r="M581" s="445" t="s">
        <v>2622</v>
      </c>
      <c r="N581" s="445" t="s">
        <v>2622</v>
      </c>
      <c r="O581" s="445" t="s">
        <v>2623</v>
      </c>
      <c r="P581" s="445" t="s">
        <v>2624</v>
      </c>
      <c r="Q581" s="445" t="s">
        <v>2625</v>
      </c>
    </row>
    <row r="582" spans="2:17">
      <c r="B582" s="504" t="str">
        <f t="shared" si="20"/>
        <v>s pružinou a tlumením</v>
      </c>
      <c r="M582" s="445" t="s">
        <v>3336</v>
      </c>
      <c r="N582" s="445" t="s">
        <v>3339</v>
      </c>
      <c r="O582" s="445" t="s">
        <v>3342</v>
      </c>
      <c r="P582" s="445" t="s">
        <v>3345</v>
      </c>
      <c r="Q582" s="445" t="s">
        <v>3348</v>
      </c>
    </row>
    <row r="583" spans="2:17">
      <c r="B583" s="504" t="str">
        <f t="shared" si="20"/>
        <v>s pružinou bez tlumení</v>
      </c>
      <c r="M583" s="445" t="s">
        <v>3337</v>
      </c>
      <c r="N583" s="445" t="s">
        <v>3340</v>
      </c>
      <c r="O583" s="445" t="s">
        <v>3343</v>
      </c>
      <c r="P583" s="445" t="s">
        <v>3346</v>
      </c>
      <c r="Q583" s="445" t="s">
        <v>3349</v>
      </c>
    </row>
    <row r="584" spans="2:17">
      <c r="B584" s="504" t="str">
        <f t="shared" si="20"/>
        <v>tip-on bez pružiny/tlumení</v>
      </c>
      <c r="M584" s="445" t="s">
        <v>3338</v>
      </c>
      <c r="N584" s="445" t="s">
        <v>3341</v>
      </c>
      <c r="O584" s="445" t="s">
        <v>3344</v>
      </c>
      <c r="P584" s="445" t="s">
        <v>3347</v>
      </c>
      <c r="Q584" s="445" t="s">
        <v>3350</v>
      </c>
    </row>
    <row r="585" spans="2:17">
      <c r="B585" s="504" t="str">
        <f t="shared" si="20"/>
        <v>stříbrná</v>
      </c>
      <c r="M585" s="445" t="s">
        <v>2168</v>
      </c>
      <c r="N585" s="445" t="s">
        <v>2805</v>
      </c>
      <c r="O585" s="445" t="s">
        <v>2806</v>
      </c>
      <c r="P585" s="445" t="s">
        <v>2801</v>
      </c>
      <c r="Q585" s="445" t="s">
        <v>2803</v>
      </c>
    </row>
    <row r="586" spans="2:17">
      <c r="B586" s="504" t="str">
        <f t="shared" si="20"/>
        <v>černá</v>
      </c>
      <c r="M586" s="445" t="s">
        <v>2170</v>
      </c>
      <c r="N586" s="445" t="s">
        <v>2320</v>
      </c>
      <c r="O586" s="445" t="s">
        <v>2807</v>
      </c>
      <c r="P586" s="445" t="s">
        <v>2802</v>
      </c>
      <c r="Q586" s="445" t="s">
        <v>2804</v>
      </c>
    </row>
    <row r="587" spans="2:17">
      <c r="B587" s="504" t="str">
        <f t="shared" si="20"/>
        <v>Při použití se sklem je maximální doporučený rozměr 1500 x 600 mm</v>
      </c>
      <c r="M587" s="445" t="s">
        <v>2840</v>
      </c>
      <c r="N587" s="445" t="s">
        <v>2843</v>
      </c>
      <c r="O587" s="445" t="s">
        <v>2841</v>
      </c>
      <c r="P587" s="445" t="s">
        <v>2842</v>
      </c>
      <c r="Q587" s="445" t="s">
        <v>2839</v>
      </c>
    </row>
    <row r="588" spans="2:17">
      <c r="B588" s="445" t="s">
        <v>3170</v>
      </c>
    </row>
    <row r="589" spans="2:17">
      <c r="B589" s="504" t="str">
        <f t="shared" si="20"/>
        <v>(spodního)</v>
      </c>
      <c r="M589" t="s">
        <v>2492</v>
      </c>
      <c r="N589" s="445" t="s">
        <v>3173</v>
      </c>
      <c r="O589" s="445" t="s">
        <v>3185</v>
      </c>
      <c r="P589" s="445" t="s">
        <v>3177</v>
      </c>
      <c r="Q589" s="445" t="s">
        <v>3181</v>
      </c>
    </row>
    <row r="590" spans="2:17">
      <c r="B590" s="504" t="str">
        <f t="shared" si="20"/>
        <v>(levého)</v>
      </c>
      <c r="M590" t="s">
        <v>2494</v>
      </c>
      <c r="N590" s="445" t="s">
        <v>3174</v>
      </c>
      <c r="O590" s="445" t="s">
        <v>3186</v>
      </c>
      <c r="P590" s="445" t="s">
        <v>3178</v>
      </c>
      <c r="Q590" s="445" t="s">
        <v>3182</v>
      </c>
    </row>
    <row r="591" spans="2:17">
      <c r="B591" s="504" t="str">
        <f t="shared" si="20"/>
        <v>(horního)</v>
      </c>
      <c r="M591" t="s">
        <v>2493</v>
      </c>
      <c r="N591" s="445" t="s">
        <v>3175</v>
      </c>
      <c r="O591" s="445" t="s">
        <v>3187</v>
      </c>
      <c r="P591" s="445" t="s">
        <v>3179</v>
      </c>
      <c r="Q591" s="445" t="s">
        <v>3183</v>
      </c>
    </row>
    <row r="592" spans="2:17">
      <c r="B592" s="504" t="str">
        <f t="shared" si="20"/>
        <v>(pravého)</v>
      </c>
      <c r="M592" t="s">
        <v>2495</v>
      </c>
      <c r="N592" s="445" t="s">
        <v>3176</v>
      </c>
      <c r="O592" s="445" t="s">
        <v>3188</v>
      </c>
      <c r="P592" s="445" t="s">
        <v>3180</v>
      </c>
      <c r="Q592" s="445" t="s">
        <v>3184</v>
      </c>
    </row>
    <row r="593" spans="2:17">
      <c r="B593" s="504" t="str">
        <f t="shared" si="20"/>
        <v>275672- autom. 30N šedá</v>
      </c>
      <c r="M593" s="445" t="s">
        <v>3190</v>
      </c>
      <c r="N593" s="445" t="s">
        <v>3191</v>
      </c>
      <c r="O593" s="445" t="s">
        <v>3192</v>
      </c>
      <c r="P593" s="445" t="s">
        <v>3193</v>
      </c>
      <c r="Q593" s="445" t="s">
        <v>3194</v>
      </c>
    </row>
    <row r="594" spans="2:17">
      <c r="B594" s="504" t="str">
        <f t="shared" si="20"/>
        <v>275673- autom. 60N šedá</v>
      </c>
      <c r="M594" s="445" t="s">
        <v>3195</v>
      </c>
      <c r="N594" s="445" t="s">
        <v>3196</v>
      </c>
      <c r="O594" s="445" t="s">
        <v>3197</v>
      </c>
      <c r="P594" s="445" t="s">
        <v>3198</v>
      </c>
      <c r="Q594" s="445" t="s">
        <v>3199</v>
      </c>
    </row>
    <row r="595" spans="2:17">
      <c r="B595" s="504" t="str">
        <f t="shared" si="20"/>
        <v>275674- autom. 80N šedá</v>
      </c>
      <c r="M595" s="445" t="s">
        <v>3200</v>
      </c>
      <c r="N595" s="445" t="s">
        <v>3201</v>
      </c>
      <c r="O595" s="445" t="s">
        <v>3202</v>
      </c>
      <c r="P595" s="445" t="s">
        <v>3203</v>
      </c>
      <c r="Q595" s="445" t="s">
        <v>3204</v>
      </c>
    </row>
    <row r="596" spans="2:17">
      <c r="B596" s="504" t="str">
        <f t="shared" si="20"/>
        <v>275675- autom. 100N šedá</v>
      </c>
      <c r="M596" s="445" t="s">
        <v>3205</v>
      </c>
      <c r="N596" s="445" t="s">
        <v>3206</v>
      </c>
      <c r="O596" s="445" t="s">
        <v>3207</v>
      </c>
      <c r="P596" s="445" t="s">
        <v>3208</v>
      </c>
      <c r="Q596" s="445" t="s">
        <v>3209</v>
      </c>
    </row>
    <row r="597" spans="2:17">
      <c r="B597" s="504" t="str">
        <f t="shared" si="20"/>
        <v>275676- autom. 120N šedá</v>
      </c>
      <c r="M597" s="445" t="s">
        <v>3210</v>
      </c>
      <c r="N597" s="445" t="s">
        <v>3211</v>
      </c>
      <c r="O597" s="445" t="s">
        <v>3212</v>
      </c>
      <c r="P597" s="445" t="s">
        <v>3213</v>
      </c>
      <c r="Q597" s="445" t="s">
        <v>3214</v>
      </c>
    </row>
    <row r="598" spans="2:17">
      <c r="B598" s="538" t="s">
        <v>3189</v>
      </c>
    </row>
    <row r="599" spans="2:17">
      <c r="B599" s="504" t="str">
        <f t="shared" si="20"/>
        <v>248162- autom. 30N bílá</v>
      </c>
      <c r="M599" s="445" t="s">
        <v>3215</v>
      </c>
      <c r="N599" s="445" t="s">
        <v>3216</v>
      </c>
      <c r="O599" s="445" t="s">
        <v>3217</v>
      </c>
      <c r="P599" s="445" t="s">
        <v>3218</v>
      </c>
      <c r="Q599" s="445" t="s">
        <v>3219</v>
      </c>
    </row>
    <row r="600" spans="2:17">
      <c r="B600" s="504" t="str">
        <f t="shared" si="20"/>
        <v>248163- autom. 60N bílá</v>
      </c>
      <c r="M600" s="445" t="s">
        <v>3220</v>
      </c>
      <c r="N600" s="445" t="s">
        <v>3221</v>
      </c>
      <c r="O600" s="445" t="s">
        <v>3222</v>
      </c>
      <c r="P600" s="445" t="s">
        <v>3223</v>
      </c>
      <c r="Q600" s="445" t="s">
        <v>3224</v>
      </c>
    </row>
    <row r="601" spans="2:17">
      <c r="B601" s="504" t="str">
        <f t="shared" si="20"/>
        <v>248164- autom. 80N bílá</v>
      </c>
      <c r="M601" s="445" t="s">
        <v>3225</v>
      </c>
      <c r="N601" s="445" t="s">
        <v>3226</v>
      </c>
      <c r="O601" s="445" t="s">
        <v>3227</v>
      </c>
      <c r="P601" s="445" t="s">
        <v>3228</v>
      </c>
      <c r="Q601" s="445" t="s">
        <v>3229</v>
      </c>
    </row>
    <row r="602" spans="2:17">
      <c r="B602" s="504" t="str">
        <f t="shared" si="20"/>
        <v>248165- autom. 100N bílá</v>
      </c>
      <c r="M602" s="445" t="s">
        <v>3230</v>
      </c>
      <c r="N602" s="445" t="s">
        <v>3231</v>
      </c>
      <c r="O602" s="445" t="s">
        <v>3232</v>
      </c>
      <c r="P602" s="445" t="s">
        <v>3233</v>
      </c>
      <c r="Q602" s="445" t="s">
        <v>3234</v>
      </c>
    </row>
    <row r="603" spans="2:17">
      <c r="B603" s="504" t="str">
        <f t="shared" si="20"/>
        <v>248166- autom. 120N bílá</v>
      </c>
      <c r="M603" s="445" t="s">
        <v>3235</v>
      </c>
      <c r="N603" s="445" t="s">
        <v>3236</v>
      </c>
      <c r="O603" s="445" t="s">
        <v>3237</v>
      </c>
      <c r="P603" s="445" t="s">
        <v>3238</v>
      </c>
      <c r="Q603" s="445" t="s">
        <v>3239</v>
      </c>
    </row>
    <row r="604" spans="2:17">
      <c r="B604" s="504" t="str">
        <f t="shared" si="20"/>
        <v>284250- poloh. 60N šedá</v>
      </c>
      <c r="M604" s="445" t="s">
        <v>3240</v>
      </c>
      <c r="N604" s="445" t="s">
        <v>3241</v>
      </c>
      <c r="O604" s="445" t="s">
        <v>3242</v>
      </c>
      <c r="P604" s="445" t="s">
        <v>3243</v>
      </c>
      <c r="Q604" s="445" t="s">
        <v>3244</v>
      </c>
    </row>
    <row r="605" spans="2:17">
      <c r="B605" s="538" t="s">
        <v>3189</v>
      </c>
    </row>
    <row r="606" spans="2:17">
      <c r="B606" s="504" t="str">
        <f t="shared" si="20"/>
        <v>284251- poloh. 80N šedá</v>
      </c>
      <c r="M606" s="445" t="s">
        <v>3245</v>
      </c>
      <c r="N606" s="445" t="s">
        <v>3246</v>
      </c>
      <c r="O606" s="445" t="s">
        <v>3247</v>
      </c>
      <c r="P606" s="445" t="s">
        <v>3248</v>
      </c>
      <c r="Q606" s="445" t="s">
        <v>3249</v>
      </c>
    </row>
    <row r="607" spans="2:17">
      <c r="B607" s="504" t="str">
        <f t="shared" si="20"/>
        <v>284252- poloh. 100N šedá</v>
      </c>
      <c r="M607" s="445" t="s">
        <v>3250</v>
      </c>
      <c r="N607" s="445" t="s">
        <v>3251</v>
      </c>
      <c r="O607" s="445" t="s">
        <v>3252</v>
      </c>
      <c r="P607" s="445" t="s">
        <v>3253</v>
      </c>
      <c r="Q607" s="445" t="s">
        <v>3254</v>
      </c>
    </row>
    <row r="608" spans="2:17">
      <c r="B608" s="504" t="str">
        <f t="shared" si="20"/>
        <v>284253- poloh. 120N šedá</v>
      </c>
      <c r="M608" s="445" t="s">
        <v>3255</v>
      </c>
      <c r="N608" s="445" t="s">
        <v>3256</v>
      </c>
      <c r="O608" s="445" t="s">
        <v>3257</v>
      </c>
      <c r="P608" s="445" t="s">
        <v>3258</v>
      </c>
      <c r="Q608" s="445" t="s">
        <v>3259</v>
      </c>
    </row>
    <row r="609" spans="2:17">
      <c r="B609" s="504" t="str">
        <f t="shared" si="20"/>
        <v>284254- poloh. 60N bílá</v>
      </c>
      <c r="M609" s="445" t="s">
        <v>3260</v>
      </c>
      <c r="N609" s="445" t="s">
        <v>3261</v>
      </c>
      <c r="O609" s="445" t="s">
        <v>3262</v>
      </c>
      <c r="P609" s="445" t="s">
        <v>3263</v>
      </c>
      <c r="Q609" s="445" t="s">
        <v>3264</v>
      </c>
    </row>
    <row r="610" spans="2:17">
      <c r="B610" s="504" t="str">
        <f t="shared" si="20"/>
        <v>284255- poloh. 80N bílá</v>
      </c>
      <c r="M610" s="445" t="s">
        <v>3265</v>
      </c>
      <c r="N610" s="445" t="s">
        <v>3266</v>
      </c>
      <c r="O610" s="445" t="s">
        <v>3267</v>
      </c>
      <c r="P610" s="445" t="s">
        <v>3268</v>
      </c>
      <c r="Q610" s="445" t="s">
        <v>3269</v>
      </c>
    </row>
    <row r="611" spans="2:17">
      <c r="B611" s="504" t="str">
        <f t="shared" si="20"/>
        <v>284256- poloh. 100N bílá</v>
      </c>
      <c r="M611" s="445" t="s">
        <v>3270</v>
      </c>
      <c r="N611" s="445" t="s">
        <v>3271</v>
      </c>
      <c r="O611" s="445" t="s">
        <v>3272</v>
      </c>
      <c r="P611" s="445" t="s">
        <v>3273</v>
      </c>
      <c r="Q611" s="445" t="s">
        <v>3274</v>
      </c>
    </row>
    <row r="612" spans="2:17">
      <c r="B612" s="504" t="str">
        <f t="shared" si="20"/>
        <v>284257- poloh. 120N bílá</v>
      </c>
      <c r="M612" s="445" t="s">
        <v>3275</v>
      </c>
      <c r="N612" s="445" t="s">
        <v>3276</v>
      </c>
      <c r="O612" s="445" t="s">
        <v>3277</v>
      </c>
      <c r="P612" s="445" t="s">
        <v>3278</v>
      </c>
      <c r="Q612" s="445" t="s">
        <v>3279</v>
      </c>
    </row>
    <row r="613" spans="2:17">
      <c r="B613" s="538" t="s">
        <v>3189</v>
      </c>
    </row>
    <row r="614" spans="2:17">
      <c r="B614" s="504" t="str">
        <f t="shared" si="20"/>
        <v>275689- spodní 80N šedá</v>
      </c>
      <c r="M614" s="445" t="s">
        <v>3280</v>
      </c>
      <c r="N614" s="445" t="s">
        <v>3281</v>
      </c>
      <c r="O614" s="445" t="s">
        <v>3282</v>
      </c>
      <c r="P614" s="445" t="s">
        <v>3283</v>
      </c>
      <c r="Q614" s="445" t="s">
        <v>3284</v>
      </c>
    </row>
    <row r="615" spans="2:17">
      <c r="B615" s="504" t="str">
        <f t="shared" ref="B615:B636" si="21">IF($D$1=1,M615,IF($D$1=2,N615,IF($D$1=3,O615,IF($D$1=4,P615,IF($D$1=5,Q615,0)))))</f>
        <v>248167- spodní 80N bílá</v>
      </c>
      <c r="M615" s="445" t="s">
        <v>3285</v>
      </c>
      <c r="N615" s="445" t="s">
        <v>3286</v>
      </c>
      <c r="O615" s="445" t="s">
        <v>3287</v>
      </c>
      <c r="P615" s="445" t="s">
        <v>3288</v>
      </c>
      <c r="Q615" s="445" t="s">
        <v>3289</v>
      </c>
    </row>
    <row r="616" spans="2:17">
      <c r="B616" s="504" t="str">
        <f t="shared" si="21"/>
        <v>507355-22L3200-výška skříňky=300 – 339 mm</v>
      </c>
      <c r="M616" s="445" t="s">
        <v>3644</v>
      </c>
      <c r="N616" s="445" t="s">
        <v>3648</v>
      </c>
      <c r="O616" s="445" t="s">
        <v>3652</v>
      </c>
      <c r="P616" s="445" t="s">
        <v>3656</v>
      </c>
      <c r="Q616" s="445" t="s">
        <v>3660</v>
      </c>
    </row>
    <row r="617" spans="2:17">
      <c r="B617" s="504" t="str">
        <f t="shared" si="21"/>
        <v>507356-22L3500-výška skříňky=340 – 389 mm</v>
      </c>
      <c r="M617" s="445" t="s">
        <v>3645</v>
      </c>
      <c r="N617" s="445" t="s">
        <v>3649</v>
      </c>
      <c r="O617" s="445" t="s">
        <v>3653</v>
      </c>
      <c r="P617" s="445" t="s">
        <v>3657</v>
      </c>
      <c r="Q617" s="445" t="s">
        <v>3661</v>
      </c>
    </row>
    <row r="618" spans="2:17">
      <c r="B618" s="504" t="str">
        <f t="shared" si="21"/>
        <v>507357-22L3800-výška skříňky=390 – 540 mm</v>
      </c>
      <c r="M618" s="445" t="s">
        <v>3646</v>
      </c>
      <c r="N618" s="445" t="s">
        <v>3650</v>
      </c>
      <c r="O618" s="445" t="s">
        <v>3654</v>
      </c>
      <c r="P618" s="445" t="s">
        <v>3658</v>
      </c>
      <c r="Q618" s="445" t="s">
        <v>3662</v>
      </c>
    </row>
    <row r="619" spans="2:17">
      <c r="B619" s="504" t="str">
        <f t="shared" si="21"/>
        <v>507358-22L3900-výška skříňky=480 – 580 mm</v>
      </c>
      <c r="M619" s="445" t="s">
        <v>3647</v>
      </c>
      <c r="N619" s="445" t="s">
        <v>3651</v>
      </c>
      <c r="O619" s="445" t="s">
        <v>3655</v>
      </c>
      <c r="P619" s="445" t="s">
        <v>3659</v>
      </c>
      <c r="Q619" s="445" t="s">
        <v>3663</v>
      </c>
    </row>
    <row r="620" spans="2:17">
      <c r="B620" s="504" t="str">
        <f t="shared" si="21"/>
        <v>Servo:</v>
      </c>
      <c r="M620" s="445" t="s">
        <v>3290</v>
      </c>
      <c r="N620" s="445" t="s">
        <v>3290</v>
      </c>
      <c r="O620" s="445" t="s">
        <v>3290</v>
      </c>
      <c r="P620" s="445" t="s">
        <v>3290</v>
      </c>
      <c r="Q620" s="445" t="s">
        <v>3290</v>
      </c>
    </row>
    <row r="621" spans="2:17">
      <c r="B621" s="504" t="str">
        <f t="shared" si="21"/>
        <v>197612-21L3200.01-výška skříňky=300 – 349 mm</v>
      </c>
      <c r="M621" s="445" t="s">
        <v>3291</v>
      </c>
      <c r="N621" s="445" t="s">
        <v>3292</v>
      </c>
      <c r="O621" s="445" t="s">
        <v>3293</v>
      </c>
      <c r="P621" s="445" t="s">
        <v>3294</v>
      </c>
      <c r="Q621" s="445" t="s">
        <v>3295</v>
      </c>
    </row>
    <row r="622" spans="2:17">
      <c r="B622" s="504" t="str">
        <f t="shared" si="21"/>
        <v>197613-21L3500.01-výška skříňky=350 – 399 mm</v>
      </c>
      <c r="M622" s="445" t="s">
        <v>3296</v>
      </c>
      <c r="N622" s="445" t="s">
        <v>3297</v>
      </c>
      <c r="O622" s="445" t="s">
        <v>3298</v>
      </c>
      <c r="P622" s="445" t="s">
        <v>3299</v>
      </c>
      <c r="Q622" s="445" t="s">
        <v>3300</v>
      </c>
    </row>
    <row r="623" spans="2:17">
      <c r="B623" s="504" t="str">
        <f t="shared" si="21"/>
        <v>197614-21L3800.01-výška skříňky=400 – 550 mm</v>
      </c>
      <c r="M623" s="445" t="s">
        <v>3301</v>
      </c>
      <c r="N623" s="445" t="s">
        <v>3302</v>
      </c>
      <c r="O623" s="445" t="s">
        <v>3303</v>
      </c>
      <c r="P623" s="445" t="s">
        <v>3304</v>
      </c>
      <c r="Q623" s="445" t="s">
        <v>3305</v>
      </c>
    </row>
    <row r="624" spans="2:17">
      <c r="B624" s="504" t="str">
        <f t="shared" si="21"/>
        <v>197615-21L3900.01-výška skříňky=450 – 580 mm</v>
      </c>
      <c r="M624" s="445" t="s">
        <v>3306</v>
      </c>
      <c r="N624" s="445" t="s">
        <v>3307</v>
      </c>
      <c r="O624" s="445" t="s">
        <v>3308</v>
      </c>
      <c r="P624" s="445" t="s">
        <v>3309</v>
      </c>
      <c r="Q624" s="445" t="s">
        <v>3310</v>
      </c>
    </row>
    <row r="625" spans="2:17">
      <c r="B625" s="504" t="str">
        <f t="shared" si="21"/>
        <v>Typ skla/síťky</v>
      </c>
      <c r="M625" s="487" t="s">
        <v>3635</v>
      </c>
      <c r="N625" s="445" t="s">
        <v>3636</v>
      </c>
      <c r="O625" s="445" t="s">
        <v>3637</v>
      </c>
      <c r="P625" s="445" t="s">
        <v>3638</v>
      </c>
      <c r="Q625" s="445" t="s">
        <v>3639</v>
      </c>
    </row>
    <row r="626" spans="2:17" ht="75">
      <c r="B626" s="504" t="str">
        <f t="shared" si="21"/>
        <v>Do zelených buněk upřesněte vzdálenost vrtání úchytky od vnějšího kraje rámečku.</v>
      </c>
      <c r="M626" s="537" t="s">
        <v>3331</v>
      </c>
      <c r="N626" s="537" t="s">
        <v>3332</v>
      </c>
      <c r="O626" s="537" t="s">
        <v>3333</v>
      </c>
      <c r="P626" s="537" t="s">
        <v>3334</v>
      </c>
      <c r="Q626" s="537" t="s">
        <v>3335</v>
      </c>
    </row>
    <row r="627" spans="2:17">
      <c r="B627" s="504" t="str">
        <f t="shared" si="21"/>
        <v>Neplatná kombinace</v>
      </c>
      <c r="M627" s="445" t="s">
        <v>3351</v>
      </c>
      <c r="N627" s="445" t="s">
        <v>3355</v>
      </c>
      <c r="O627" s="445" t="s">
        <v>3354</v>
      </c>
      <c r="P627" s="445" t="s">
        <v>3353</v>
      </c>
      <c r="Q627" s="445" t="s">
        <v>3352</v>
      </c>
    </row>
    <row r="628" spans="2:17">
      <c r="B628" s="504" t="str">
        <f t="shared" si="21"/>
        <v>křížová vrut</v>
      </c>
      <c r="M628" s="487" t="s">
        <v>3383</v>
      </c>
      <c r="N628" s="487" t="s">
        <v>3389</v>
      </c>
      <c r="O628" s="445" t="s">
        <v>3390</v>
      </c>
      <c r="P628" s="445" t="s">
        <v>3391</v>
      </c>
      <c r="Q628" s="445" t="s">
        <v>3392</v>
      </c>
    </row>
    <row r="629" spans="2:17">
      <c r="B629" s="504" t="str">
        <f t="shared" si="21"/>
        <v>křížová vrut (excentr)</v>
      </c>
      <c r="M629" s="487" t="s">
        <v>3381</v>
      </c>
      <c r="N629" s="487" t="s">
        <v>3393</v>
      </c>
      <c r="O629" s="445" t="s">
        <v>3394</v>
      </c>
      <c r="P629" s="445" t="s">
        <v>3395</v>
      </c>
      <c r="Q629" s="445" t="s">
        <v>3396</v>
      </c>
    </row>
    <row r="630" spans="2:17">
      <c r="B630" s="504" t="str">
        <f t="shared" si="21"/>
        <v>křížová euro</v>
      </c>
      <c r="M630" s="487" t="s">
        <v>3384</v>
      </c>
      <c r="N630" s="487" t="s">
        <v>3397</v>
      </c>
      <c r="O630" s="445" t="s">
        <v>3412</v>
      </c>
      <c r="P630" s="445" t="s">
        <v>3398</v>
      </c>
      <c r="Q630" s="445" t="s">
        <v>3399</v>
      </c>
    </row>
    <row r="631" spans="2:17">
      <c r="B631" s="504" t="str">
        <f t="shared" si="21"/>
        <v>křížová hmoždinka</v>
      </c>
      <c r="M631" s="487" t="s">
        <v>3385</v>
      </c>
      <c r="N631" s="487" t="s">
        <v>3400</v>
      </c>
      <c r="O631" s="445" t="s">
        <v>3413</v>
      </c>
      <c r="P631" s="445" t="s">
        <v>3401</v>
      </c>
      <c r="Q631" s="445" t="s">
        <v>3401</v>
      </c>
    </row>
    <row r="632" spans="2:17">
      <c r="B632" s="504" t="str">
        <f t="shared" si="21"/>
        <v>přímá vrut</v>
      </c>
      <c r="M632" s="487" t="s">
        <v>3386</v>
      </c>
      <c r="N632" s="487" t="s">
        <v>3402</v>
      </c>
      <c r="O632" s="445" t="s">
        <v>3403</v>
      </c>
      <c r="P632" s="445" t="s">
        <v>3405</v>
      </c>
      <c r="Q632" s="445" t="s">
        <v>3404</v>
      </c>
    </row>
    <row r="633" spans="2:17">
      <c r="B633" s="504" t="str">
        <f t="shared" si="21"/>
        <v>přímá euro</v>
      </c>
      <c r="M633" s="487" t="s">
        <v>3387</v>
      </c>
      <c r="N633" s="487" t="s">
        <v>3387</v>
      </c>
      <c r="O633" s="445" t="s">
        <v>3408</v>
      </c>
      <c r="P633" s="445" t="s">
        <v>3406</v>
      </c>
      <c r="Q633" s="445" t="s">
        <v>3407</v>
      </c>
    </row>
    <row r="634" spans="2:17">
      <c r="B634" s="504" t="str">
        <f t="shared" si="21"/>
        <v>přímá hmoždinka</v>
      </c>
      <c r="M634" s="487" t="s">
        <v>3388</v>
      </c>
      <c r="N634" s="487" t="s">
        <v>3388</v>
      </c>
      <c r="O634" s="445" t="s">
        <v>3409</v>
      </c>
      <c r="P634" s="445" t="s">
        <v>3410</v>
      </c>
      <c r="Q634" s="445" t="s">
        <v>3411</v>
      </c>
    </row>
    <row r="635" spans="2:17">
      <c r="B635" s="504" t="str">
        <f t="shared" si="21"/>
        <v>délka max. 2150 mm</v>
      </c>
      <c r="M635" s="445" t="s">
        <v>3427</v>
      </c>
      <c r="N635" s="445" t="s">
        <v>3428</v>
      </c>
      <c r="O635" s="445" t="s">
        <v>3429</v>
      </c>
      <c r="P635" s="445" t="s">
        <v>3579</v>
      </c>
      <c r="Q635" s="445" t="s">
        <v>3430</v>
      </c>
    </row>
    <row r="636" spans="2:17">
      <c r="B636" s="504" t="str">
        <f t="shared" si="21"/>
        <v>Vzdálenost od spodního okraje</v>
      </c>
      <c r="M636" s="487" t="s">
        <v>3442</v>
      </c>
      <c r="N636" s="445" t="s">
        <v>3448</v>
      </c>
      <c r="O636" s="445" t="s">
        <v>3446</v>
      </c>
      <c r="P636" s="445" t="s">
        <v>3450</v>
      </c>
      <c r="Q636" s="445" t="s">
        <v>3444</v>
      </c>
    </row>
    <row r="637" spans="2:17">
      <c r="B637" s="504" t="str">
        <f t="shared" ref="B637:B666" si="22">IF($D$1=1,M637,IF($D$1=2,N637,IF($D$1=3,O637,IF($D$1=4,P637,IF($D$1=5,Q637,0)))))</f>
        <v>Vzdálenost od horního okraje</v>
      </c>
      <c r="M637" s="487" t="s">
        <v>3443</v>
      </c>
      <c r="N637" s="445" t="s">
        <v>3449</v>
      </c>
      <c r="O637" s="445" t="s">
        <v>3447</v>
      </c>
      <c r="P637" s="445" t="s">
        <v>3451</v>
      </c>
      <c r="Q637" s="445" t="s">
        <v>3445</v>
      </c>
    </row>
    <row r="638" spans="2:17">
      <c r="B638" s="504" t="str">
        <f t="shared" si="22"/>
        <v>Bez úprav</v>
      </c>
      <c r="M638" s="445" t="s">
        <v>2219</v>
      </c>
      <c r="N638" s="445" t="s">
        <v>2219</v>
      </c>
      <c r="O638" s="445" t="s">
        <v>2220</v>
      </c>
      <c r="P638" s="445" t="s">
        <v>2218</v>
      </c>
      <c r="Q638" s="445" t="s">
        <v>2635</v>
      </c>
    </row>
    <row r="639" spans="2:17">
      <c r="B639" s="504" t="str">
        <f t="shared" si="22"/>
        <v>Kalené (termín dodání 3 týdny)</v>
      </c>
      <c r="M639" s="445" t="s">
        <v>3785</v>
      </c>
      <c r="N639" s="445" t="s">
        <v>3786</v>
      </c>
      <c r="O639" s="445" t="s">
        <v>3787</v>
      </c>
      <c r="P639" s="445" t="s">
        <v>3789</v>
      </c>
      <c r="Q639" s="445" t="s">
        <v>3788</v>
      </c>
    </row>
    <row r="640" spans="2:17">
      <c r="B640" s="504" t="str">
        <f t="shared" si="22"/>
        <v>Folie</v>
      </c>
      <c r="M640" s="445" t="s">
        <v>1987</v>
      </c>
      <c r="N640" s="445" t="s">
        <v>1987</v>
      </c>
      <c r="O640" s="445" t="s">
        <v>2221</v>
      </c>
      <c r="P640" s="445" t="s">
        <v>2222</v>
      </c>
      <c r="Q640" s="445" t="s">
        <v>2634</v>
      </c>
    </row>
    <row r="641" spans="2:17" ht="97.5">
      <c r="B641" s="504" t="str">
        <f t="shared" si="22"/>
        <v xml:space="preserve">Rámečky bez skla se dodávají v demontovaném stavu. </v>
      </c>
      <c r="M641" s="539" t="s">
        <v>3532</v>
      </c>
      <c r="N641" s="539" t="s">
        <v>3531</v>
      </c>
      <c r="O641" s="539" t="s">
        <v>3533</v>
      </c>
      <c r="P641" s="548" t="s">
        <v>3534</v>
      </c>
      <c r="Q641" s="570" t="s">
        <v>3676</v>
      </c>
    </row>
    <row r="642" spans="2:17" ht="74.25" customHeight="1">
      <c r="B642" s="504" t="str">
        <f t="shared" si="22"/>
        <v>Maximální doporučený rozměr je 1500x600. Při objednání většího rozměru se může sklo vysunout z profilu. Za takové reklamace výrobce nenese odpovědnost.</v>
      </c>
      <c r="M642" s="537" t="s">
        <v>3580</v>
      </c>
      <c r="N642" s="556" t="s">
        <v>3582</v>
      </c>
      <c r="O642" s="537" t="s">
        <v>3583</v>
      </c>
      <c r="P642" s="555" t="s">
        <v>3581</v>
      </c>
      <c r="Q642" s="537" t="s">
        <v>3584</v>
      </c>
    </row>
    <row r="644" spans="2:17">
      <c r="B644" s="504" t="str">
        <f t="shared" si="22"/>
        <v>520405 Cordia SALICE AIR SOFT niklový závěs s úhlem otevírání 92° sada 2ks</v>
      </c>
      <c r="M644" s="318" t="s">
        <v>3592</v>
      </c>
      <c r="N644" s="318" t="s">
        <v>3592</v>
      </c>
      <c r="O644" s="318" t="s">
        <v>3604</v>
      </c>
      <c r="P644" t="s">
        <v>3605</v>
      </c>
    </row>
    <row r="645" spans="2:17">
      <c r="B645" s="504" t="str">
        <f t="shared" si="22"/>
        <v>520406 Cordia SALICE AIR PUSH TO OPEN niklový závěs s adaptérem sada 2ks</v>
      </c>
      <c r="M645" s="318" t="s">
        <v>3593</v>
      </c>
      <c r="N645" s="318" t="s">
        <v>3593</v>
      </c>
      <c r="O645" s="318" t="s">
        <v>3606</v>
      </c>
      <c r="P645" t="s">
        <v>3607</v>
      </c>
    </row>
    <row r="646" spans="2:17">
      <c r="B646" s="504" t="str">
        <f t="shared" si="22"/>
        <v>520407 Cordia SALICE AIR PUSH TO OPEN niklový závěs s adaptérem sada 2ks</v>
      </c>
      <c r="M646" s="318" t="s">
        <v>3594</v>
      </c>
      <c r="N646" s="318" t="s">
        <v>3594</v>
      </c>
      <c r="O646" s="318" t="s">
        <v>3608</v>
      </c>
      <c r="P646" t="s">
        <v>3607</v>
      </c>
    </row>
    <row r="647" spans="2:17">
      <c r="B647" s="504" t="str">
        <f t="shared" si="22"/>
        <v>520408 Cordia SALICE AIR SOFT niklový závěs s adaptérem sada 2ks</v>
      </c>
      <c r="M647" s="318" t="s">
        <v>3595</v>
      </c>
      <c r="N647" s="318" t="s">
        <v>3595</v>
      </c>
      <c r="O647" s="318" t="s">
        <v>3609</v>
      </c>
      <c r="P647" t="s">
        <v>3610</v>
      </c>
    </row>
    <row r="648" spans="2:17">
      <c r="B648" s="504" t="str">
        <f t="shared" si="22"/>
        <v>520410 Cordia SALICE AIR SOFT TITANIUM závěs s úhlem otevírání 92' sada 2ks</v>
      </c>
      <c r="M648" s="318" t="s">
        <v>3596</v>
      </c>
      <c r="N648" s="318" t="s">
        <v>3596</v>
      </c>
      <c r="O648" s="318" t="s">
        <v>3611</v>
      </c>
      <c r="P648" t="s">
        <v>3612</v>
      </c>
    </row>
    <row r="649" spans="2:17">
      <c r="B649" s="504" t="str">
        <f t="shared" si="22"/>
        <v>520411 Cordia SALICE AIR TITANIUM PUSH TO OPEN závěs sada 2ks</v>
      </c>
      <c r="M649" s="318" t="s">
        <v>3597</v>
      </c>
      <c r="N649" s="318" t="s">
        <v>3597</v>
      </c>
      <c r="O649" s="318" t="s">
        <v>3613</v>
      </c>
      <c r="P649" t="s">
        <v>3614</v>
      </c>
    </row>
    <row r="650" spans="2:17">
      <c r="B650" s="504" t="str">
        <f t="shared" si="22"/>
        <v>520412 Cordia SALICE AIR TITANIUM PUSH TO OPEN závěs s adaptérem sada 2ks</v>
      </c>
      <c r="M650" s="318" t="s">
        <v>3598</v>
      </c>
      <c r="N650" s="318" t="s">
        <v>3598</v>
      </c>
      <c r="O650" s="318" t="s">
        <v>3615</v>
      </c>
      <c r="P650" t="s">
        <v>3616</v>
      </c>
    </row>
    <row r="651" spans="2:17">
      <c r="B651" s="504" t="str">
        <f t="shared" si="22"/>
        <v>520413 Cordia SALICE AIR SOFT TITANIUM závěs s adaptérem sada 2ks</v>
      </c>
      <c r="M651" t="s">
        <v>3599</v>
      </c>
      <c r="N651" t="s">
        <v>3599</v>
      </c>
      <c r="O651" t="s">
        <v>3617</v>
      </c>
      <c r="P651" t="s">
        <v>3618</v>
      </c>
    </row>
    <row r="653" spans="2:17">
      <c r="B653" s="504" t="str">
        <f t="shared" si="22"/>
        <v>Výplň rámečku síťka</v>
      </c>
      <c r="M653" s="445" t="s">
        <v>3600</v>
      </c>
      <c r="N653" s="445" t="s">
        <v>4104</v>
      </c>
      <c r="O653" s="445" t="s">
        <v>4265</v>
      </c>
      <c r="P653" s="566" t="s">
        <v>3619</v>
      </c>
      <c r="Q653" s="445" t="s">
        <v>3620</v>
      </c>
    </row>
    <row r="654" spans="2:17">
      <c r="B654" s="504" t="str">
        <f t="shared" si="22"/>
        <v>max. rozměr 1000x500mm</v>
      </c>
      <c r="M654" s="445" t="s">
        <v>3621</v>
      </c>
      <c r="N654" s="445" t="s">
        <v>3622</v>
      </c>
      <c r="O654" s="445" t="s">
        <v>3623</v>
      </c>
      <c r="P654" s="445" t="s">
        <v>3624</v>
      </c>
      <c r="Q654" s="445" t="s">
        <v>3625</v>
      </c>
    </row>
    <row r="655" spans="2:17">
      <c r="B655" s="504"/>
    </row>
    <row r="656" spans="2:17">
      <c r="B656" s="504" t="str">
        <f t="shared" si="22"/>
        <v>Typ síťky</v>
      </c>
      <c r="M656" s="445" t="s">
        <v>3626</v>
      </c>
      <c r="N656" s="445" t="s">
        <v>3627</v>
      </c>
      <c r="O656" s="445" t="s">
        <v>3628</v>
      </c>
      <c r="P656" s="445" t="s">
        <v>3629</v>
      </c>
      <c r="Q656" s="445" t="s">
        <v>3630</v>
      </c>
    </row>
    <row r="657" spans="2:17">
      <c r="B657" s="504" t="str">
        <f t="shared" si="22"/>
        <v>Polonaložená a vložená varianta neexistuje</v>
      </c>
      <c r="M657" s="445" t="s">
        <v>3773</v>
      </c>
      <c r="N657" s="445" t="s">
        <v>3773</v>
      </c>
      <c r="O657" s="445" t="s">
        <v>3774</v>
      </c>
      <c r="P657" s="445" t="s">
        <v>3775</v>
      </c>
      <c r="Q657" s="445" t="s">
        <v>3776</v>
      </c>
    </row>
    <row r="658" spans="2:17">
      <c r="B658" s="445" t="str">
        <f t="shared" si="22"/>
        <v>Broušení hran</v>
      </c>
      <c r="M658" s="445" t="s">
        <v>2626</v>
      </c>
      <c r="N658" s="445" t="s">
        <v>4105</v>
      </c>
      <c r="O658" s="445" t="s">
        <v>4106</v>
      </c>
      <c r="P658" s="445" t="s">
        <v>4108</v>
      </c>
      <c r="Q658" s="445" t="s">
        <v>4107</v>
      </c>
    </row>
    <row r="659" spans="2:17">
      <c r="B659" s="445" t="str">
        <f t="shared" si="22"/>
        <v>StrongLift_horní</v>
      </c>
      <c r="M659" t="s">
        <v>4251</v>
      </c>
      <c r="N659" t="s">
        <v>4267</v>
      </c>
      <c r="O659" t="s">
        <v>4266</v>
      </c>
      <c r="P659" t="s">
        <v>4269</v>
      </c>
      <c r="Q659" t="s">
        <v>4270</v>
      </c>
    </row>
    <row r="660" spans="2:17">
      <c r="B660" s="445" t="str">
        <f t="shared" si="22"/>
        <v>StrongLift_spodní</v>
      </c>
      <c r="M660" t="s">
        <v>4252</v>
      </c>
      <c r="N660" t="s">
        <v>4268</v>
      </c>
      <c r="O660" t="s">
        <v>4271</v>
      </c>
      <c r="P660" t="s">
        <v>4272</v>
      </c>
      <c r="Q660" t="s">
        <v>4273</v>
      </c>
    </row>
    <row r="661" spans="2:17">
      <c r="B661" s="445" t="str">
        <f t="shared" si="22"/>
        <v>korpusový závěs</v>
      </c>
      <c r="M661" s="445" t="s">
        <v>4274</v>
      </c>
      <c r="N661" s="445" t="s">
        <v>4275</v>
      </c>
      <c r="O661" s="445" t="s">
        <v>4276</v>
      </c>
      <c r="P661" s="445" t="s">
        <v>4288</v>
      </c>
      <c r="Q661" s="445" t="s">
        <v>4277</v>
      </c>
    </row>
    <row r="662" spans="2:17">
      <c r="B662" s="445" t="str">
        <f t="shared" si="22"/>
        <v>tlumený</v>
      </c>
      <c r="M662" t="s">
        <v>2129</v>
      </c>
      <c r="N662" t="s">
        <v>4278</v>
      </c>
      <c r="O662" s="445" t="s">
        <v>4279</v>
      </c>
      <c r="P662" s="445" t="s">
        <v>4281</v>
      </c>
      <c r="Q662" t="s">
        <v>4280</v>
      </c>
    </row>
    <row r="663" spans="2:17">
      <c r="B663" s="445" t="str">
        <f t="shared" si="22"/>
        <v>horní</v>
      </c>
      <c r="M663" s="487" t="s">
        <v>4282</v>
      </c>
      <c r="N663" s="487" t="s">
        <v>4282</v>
      </c>
      <c r="O663" s="445" t="s">
        <v>4283</v>
      </c>
      <c r="P663" t="s">
        <v>4285</v>
      </c>
      <c r="Q663" s="445" t="s">
        <v>4287</v>
      </c>
    </row>
    <row r="664" spans="2:17">
      <c r="B664" s="445" t="str">
        <f t="shared" si="22"/>
        <v>spodní</v>
      </c>
      <c r="M664" t="s">
        <v>799</v>
      </c>
      <c r="N664" t="s">
        <v>799</v>
      </c>
      <c r="O664" t="s">
        <v>4284</v>
      </c>
      <c r="P664" t="s">
        <v>4286</v>
      </c>
      <c r="Q664" t="s">
        <v>2542</v>
      </c>
    </row>
    <row r="665" spans="2:17">
      <c r="B665" s="445" t="str">
        <f t="shared" si="22"/>
        <v>Úzký</v>
      </c>
      <c r="M665" s="487" t="s">
        <v>838</v>
      </c>
      <c r="N665" s="445" t="s">
        <v>4289</v>
      </c>
      <c r="O665" s="445" t="s">
        <v>519</v>
      </c>
      <c r="P665" s="445" t="s">
        <v>597</v>
      </c>
      <c r="Q665" s="445" t="s">
        <v>2529</v>
      </c>
    </row>
    <row r="666" spans="2:17">
      <c r="B666" s="445" t="str">
        <f t="shared" si="22"/>
        <v>Široký</v>
      </c>
      <c r="M666" s="487" t="s">
        <v>837</v>
      </c>
      <c r="N666" s="445" t="s">
        <v>837</v>
      </c>
      <c r="O666" s="445" t="s">
        <v>520</v>
      </c>
      <c r="P666" s="445" t="s">
        <v>598</v>
      </c>
      <c r="Q666" s="445" t="s">
        <v>2530</v>
      </c>
    </row>
    <row r="686" spans="2:2">
      <c r="B686"/>
    </row>
  </sheetData>
  <mergeCells count="361">
    <mergeCell ref="C4:D4"/>
    <mergeCell ref="E4:F4"/>
    <mergeCell ref="G4:H4"/>
    <mergeCell ref="I4:J4"/>
    <mergeCell ref="K4:L4"/>
    <mergeCell ref="C98:D98"/>
    <mergeCell ref="E98:F98"/>
    <mergeCell ref="G98:H98"/>
    <mergeCell ref="I98:J98"/>
    <mergeCell ref="K98:L98"/>
    <mergeCell ref="C99:D99"/>
    <mergeCell ref="E99:F99"/>
    <mergeCell ref="G99:H99"/>
    <mergeCell ref="I99:J99"/>
    <mergeCell ref="K99:L99"/>
    <mergeCell ref="C103:D103"/>
    <mergeCell ref="E103:F103"/>
    <mergeCell ref="G103:H103"/>
    <mergeCell ref="I103:J103"/>
    <mergeCell ref="K103:L103"/>
    <mergeCell ref="I101:J101"/>
    <mergeCell ref="K101:L101"/>
    <mergeCell ref="C102:D102"/>
    <mergeCell ref="E102:F102"/>
    <mergeCell ref="G102:H102"/>
    <mergeCell ref="I102:J102"/>
    <mergeCell ref="K102:L102"/>
    <mergeCell ref="C100:D100"/>
    <mergeCell ref="E100:F100"/>
    <mergeCell ref="G100:H100"/>
    <mergeCell ref="I100:J100"/>
    <mergeCell ref="K100:L100"/>
    <mergeCell ref="C104:D104"/>
    <mergeCell ref="G104:H104"/>
    <mergeCell ref="I104:J104"/>
    <mergeCell ref="C101:D101"/>
    <mergeCell ref="E101:F101"/>
    <mergeCell ref="G101:H101"/>
    <mergeCell ref="K104:L104"/>
    <mergeCell ref="C105:D105"/>
    <mergeCell ref="G105:H105"/>
    <mergeCell ref="I105:J105"/>
    <mergeCell ref="K105:L105"/>
    <mergeCell ref="E105:F105"/>
    <mergeCell ref="E104:F104"/>
    <mergeCell ref="C109:D109"/>
    <mergeCell ref="G109:H109"/>
    <mergeCell ref="I109:J109"/>
    <mergeCell ref="K109:L109"/>
    <mergeCell ref="C110:D110"/>
    <mergeCell ref="G110:H110"/>
    <mergeCell ref="I110:J110"/>
    <mergeCell ref="K110:L110"/>
    <mergeCell ref="E110:F110"/>
    <mergeCell ref="E109:F109"/>
    <mergeCell ref="I106:J106"/>
    <mergeCell ref="K106:L106"/>
    <mergeCell ref="C107:D107"/>
    <mergeCell ref="G107:H107"/>
    <mergeCell ref="I107:J107"/>
    <mergeCell ref="K107:L107"/>
    <mergeCell ref="C108:D108"/>
    <mergeCell ref="G108:H108"/>
    <mergeCell ref="I108:J108"/>
    <mergeCell ref="K108:L108"/>
    <mergeCell ref="E107:F107"/>
    <mergeCell ref="E106:F106"/>
    <mergeCell ref="G106:H106"/>
    <mergeCell ref="K111:L111"/>
    <mergeCell ref="C112:D112"/>
    <mergeCell ref="G112:H112"/>
    <mergeCell ref="I112:J112"/>
    <mergeCell ref="K112:L112"/>
    <mergeCell ref="E111:F111"/>
    <mergeCell ref="E112:F112"/>
    <mergeCell ref="C113:D113"/>
    <mergeCell ref="G113:H113"/>
    <mergeCell ref="I113:J113"/>
    <mergeCell ref="K113:L113"/>
    <mergeCell ref="C111:D111"/>
    <mergeCell ref="G111:H111"/>
    <mergeCell ref="I111:J111"/>
    <mergeCell ref="C114:D114"/>
    <mergeCell ref="G114:H114"/>
    <mergeCell ref="I114:J114"/>
    <mergeCell ref="K114:L114"/>
    <mergeCell ref="E113:F113"/>
    <mergeCell ref="C115:D115"/>
    <mergeCell ref="G115:H115"/>
    <mergeCell ref="I115:J115"/>
    <mergeCell ref="K115:L115"/>
    <mergeCell ref="I118:J118"/>
    <mergeCell ref="K118:L118"/>
    <mergeCell ref="C119:D119"/>
    <mergeCell ref="G119:H119"/>
    <mergeCell ref="I119:J119"/>
    <mergeCell ref="K119:L119"/>
    <mergeCell ref="E119:F119"/>
    <mergeCell ref="E118:F118"/>
    <mergeCell ref="G116:H116"/>
    <mergeCell ref="I116:J116"/>
    <mergeCell ref="K116:L116"/>
    <mergeCell ref="C117:D117"/>
    <mergeCell ref="G117:H117"/>
    <mergeCell ref="I117:J117"/>
    <mergeCell ref="K117:L117"/>
    <mergeCell ref="E116:F116"/>
    <mergeCell ref="C118:D118"/>
    <mergeCell ref="C116:D116"/>
    <mergeCell ref="G118:H118"/>
    <mergeCell ref="I122:J122"/>
    <mergeCell ref="K122:L122"/>
    <mergeCell ref="C123:D123"/>
    <mergeCell ref="G123:H123"/>
    <mergeCell ref="I123:J123"/>
    <mergeCell ref="K123:L123"/>
    <mergeCell ref="E123:F123"/>
    <mergeCell ref="E122:F122"/>
    <mergeCell ref="G120:H120"/>
    <mergeCell ref="I120:J120"/>
    <mergeCell ref="K120:L120"/>
    <mergeCell ref="C121:D121"/>
    <mergeCell ref="G121:H121"/>
    <mergeCell ref="I121:J121"/>
    <mergeCell ref="K121:L121"/>
    <mergeCell ref="E121:F121"/>
    <mergeCell ref="E120:F120"/>
    <mergeCell ref="C120:D120"/>
    <mergeCell ref="G122:H122"/>
    <mergeCell ref="C122:D122"/>
    <mergeCell ref="I126:J126"/>
    <mergeCell ref="K126:L126"/>
    <mergeCell ref="C127:D127"/>
    <mergeCell ref="G127:H127"/>
    <mergeCell ref="I127:J127"/>
    <mergeCell ref="K127:L127"/>
    <mergeCell ref="E127:F127"/>
    <mergeCell ref="E126:F126"/>
    <mergeCell ref="G124:H124"/>
    <mergeCell ref="I124:J124"/>
    <mergeCell ref="K124:L124"/>
    <mergeCell ref="C125:D125"/>
    <mergeCell ref="G125:H125"/>
    <mergeCell ref="I125:J125"/>
    <mergeCell ref="K125:L125"/>
    <mergeCell ref="E125:F125"/>
    <mergeCell ref="E124:F124"/>
    <mergeCell ref="G126:H126"/>
    <mergeCell ref="C126:D126"/>
    <mergeCell ref="C124:D124"/>
    <mergeCell ref="I130:J130"/>
    <mergeCell ref="K130:L130"/>
    <mergeCell ref="C131:D131"/>
    <mergeCell ref="G131:H131"/>
    <mergeCell ref="I131:J131"/>
    <mergeCell ref="K131:L131"/>
    <mergeCell ref="E131:F131"/>
    <mergeCell ref="E130:F130"/>
    <mergeCell ref="G128:H128"/>
    <mergeCell ref="I128:J128"/>
    <mergeCell ref="K128:L128"/>
    <mergeCell ref="C129:D129"/>
    <mergeCell ref="G129:H129"/>
    <mergeCell ref="I129:J129"/>
    <mergeCell ref="K129:L129"/>
    <mergeCell ref="E129:F129"/>
    <mergeCell ref="E128:F128"/>
    <mergeCell ref="G130:H130"/>
    <mergeCell ref="C128:D128"/>
    <mergeCell ref="I134:J134"/>
    <mergeCell ref="K134:L134"/>
    <mergeCell ref="C135:D135"/>
    <mergeCell ref="G135:H135"/>
    <mergeCell ref="I135:J135"/>
    <mergeCell ref="K135:L135"/>
    <mergeCell ref="E135:F135"/>
    <mergeCell ref="E134:F134"/>
    <mergeCell ref="G132:H132"/>
    <mergeCell ref="I132:J132"/>
    <mergeCell ref="K132:L132"/>
    <mergeCell ref="C133:D133"/>
    <mergeCell ref="G133:H133"/>
    <mergeCell ref="I133:J133"/>
    <mergeCell ref="K133:L133"/>
    <mergeCell ref="E133:F133"/>
    <mergeCell ref="E132:F132"/>
    <mergeCell ref="G134:H134"/>
    <mergeCell ref="I138:J138"/>
    <mergeCell ref="K138:L138"/>
    <mergeCell ref="C139:D139"/>
    <mergeCell ref="G139:H139"/>
    <mergeCell ref="I139:J139"/>
    <mergeCell ref="K139:L139"/>
    <mergeCell ref="E139:F139"/>
    <mergeCell ref="E138:F138"/>
    <mergeCell ref="G136:H136"/>
    <mergeCell ref="I136:J136"/>
    <mergeCell ref="K136:L136"/>
    <mergeCell ref="C137:D137"/>
    <mergeCell ref="G137:H137"/>
    <mergeCell ref="I137:J137"/>
    <mergeCell ref="K137:L137"/>
    <mergeCell ref="E137:F137"/>
    <mergeCell ref="E136:F136"/>
    <mergeCell ref="G138:H138"/>
    <mergeCell ref="I142:J142"/>
    <mergeCell ref="K142:L142"/>
    <mergeCell ref="C143:D143"/>
    <mergeCell ref="G143:H143"/>
    <mergeCell ref="I143:J143"/>
    <mergeCell ref="K143:L143"/>
    <mergeCell ref="E143:F143"/>
    <mergeCell ref="E142:F142"/>
    <mergeCell ref="G140:H140"/>
    <mergeCell ref="I140:J140"/>
    <mergeCell ref="K140:L140"/>
    <mergeCell ref="C141:D141"/>
    <mergeCell ref="G141:H141"/>
    <mergeCell ref="I141:J141"/>
    <mergeCell ref="K141:L141"/>
    <mergeCell ref="E141:F141"/>
    <mergeCell ref="E140:F140"/>
    <mergeCell ref="G142:H142"/>
    <mergeCell ref="I144:J144"/>
    <mergeCell ref="K144:L144"/>
    <mergeCell ref="C145:D145"/>
    <mergeCell ref="G145:H145"/>
    <mergeCell ref="I145:J145"/>
    <mergeCell ref="K145:L145"/>
    <mergeCell ref="E145:F145"/>
    <mergeCell ref="E144:F144"/>
    <mergeCell ref="C144:D144"/>
    <mergeCell ref="G144:H144"/>
    <mergeCell ref="I146:J146"/>
    <mergeCell ref="K146:L146"/>
    <mergeCell ref="C147:D147"/>
    <mergeCell ref="G147:H147"/>
    <mergeCell ref="I147:J147"/>
    <mergeCell ref="K147:L147"/>
    <mergeCell ref="E147:F147"/>
    <mergeCell ref="E146:F146"/>
    <mergeCell ref="C146:D146"/>
    <mergeCell ref="G146:H146"/>
    <mergeCell ref="I157:J157"/>
    <mergeCell ref="I158:J158"/>
    <mergeCell ref="K158:L158"/>
    <mergeCell ref="I156:J156"/>
    <mergeCell ref="K156:L156"/>
    <mergeCell ref="I148:J148"/>
    <mergeCell ref="K148:L148"/>
    <mergeCell ref="C149:D149"/>
    <mergeCell ref="G149:H149"/>
    <mergeCell ref="I149:J149"/>
    <mergeCell ref="K149:L149"/>
    <mergeCell ref="E149:F149"/>
    <mergeCell ref="E148:F148"/>
    <mergeCell ref="I150:J150"/>
    <mergeCell ref="K150:L150"/>
    <mergeCell ref="C148:D148"/>
    <mergeCell ref="I152:J152"/>
    <mergeCell ref="K152:L152"/>
    <mergeCell ref="I153:J153"/>
    <mergeCell ref="K153:L153"/>
    <mergeCell ref="I154:J154"/>
    <mergeCell ref="C152:D152"/>
    <mergeCell ref="I155:J155"/>
    <mergeCell ref="K155:L155"/>
    <mergeCell ref="C157:D157"/>
    <mergeCell ref="C106:D106"/>
    <mergeCell ref="C161:D161"/>
    <mergeCell ref="G158:H158"/>
    <mergeCell ref="K157:L157"/>
    <mergeCell ref="C151:D151"/>
    <mergeCell ref="G151:H151"/>
    <mergeCell ref="I151:J151"/>
    <mergeCell ref="K151:L151"/>
    <mergeCell ref="C150:D150"/>
    <mergeCell ref="G150:H150"/>
    <mergeCell ref="E150:F150"/>
    <mergeCell ref="E151:F151"/>
    <mergeCell ref="K154:L154"/>
    <mergeCell ref="E159:F159"/>
    <mergeCell ref="K161:L161"/>
    <mergeCell ref="G159:H159"/>
    <mergeCell ref="I159:J159"/>
    <mergeCell ref="E160:F160"/>
    <mergeCell ref="I160:J160"/>
    <mergeCell ref="C156:D156"/>
    <mergeCell ref="E158:F158"/>
    <mergeCell ref="G160:H160"/>
    <mergeCell ref="G157:H157"/>
    <mergeCell ref="C155:D155"/>
    <mergeCell ref="G155:H155"/>
    <mergeCell ref="C154:D154"/>
    <mergeCell ref="A6:A63"/>
    <mergeCell ref="A99:A163"/>
    <mergeCell ref="A77:A82"/>
    <mergeCell ref="C160:D160"/>
    <mergeCell ref="C158:D158"/>
    <mergeCell ref="E108:F108"/>
    <mergeCell ref="E115:F115"/>
    <mergeCell ref="E114:F114"/>
    <mergeCell ref="E117:F117"/>
    <mergeCell ref="C153:D153"/>
    <mergeCell ref="C142:D142"/>
    <mergeCell ref="C140:D140"/>
    <mergeCell ref="C138:D138"/>
    <mergeCell ref="C136:D136"/>
    <mergeCell ref="C134:D134"/>
    <mergeCell ref="C132:D132"/>
    <mergeCell ref="C130:D130"/>
    <mergeCell ref="G163:H163"/>
    <mergeCell ref="G156:H156"/>
    <mergeCell ref="G152:H152"/>
    <mergeCell ref="G148:H148"/>
    <mergeCell ref="C165:D165"/>
    <mergeCell ref="E164:F164"/>
    <mergeCell ref="G164:H164"/>
    <mergeCell ref="G165:H165"/>
    <mergeCell ref="C163:D163"/>
    <mergeCell ref="E162:F162"/>
    <mergeCell ref="C166:D166"/>
    <mergeCell ref="C167:D167"/>
    <mergeCell ref="K159:L159"/>
    <mergeCell ref="G161:H161"/>
    <mergeCell ref="I161:J161"/>
    <mergeCell ref="C164:D164"/>
    <mergeCell ref="K164:L164"/>
    <mergeCell ref="K160:L160"/>
    <mergeCell ref="K163:L163"/>
    <mergeCell ref="K165:L165"/>
    <mergeCell ref="I166:J166"/>
    <mergeCell ref="K166:L166"/>
    <mergeCell ref="I163:J163"/>
    <mergeCell ref="C159:D159"/>
    <mergeCell ref="C162:D162"/>
    <mergeCell ref="G162:H162"/>
    <mergeCell ref="I162:J162"/>
    <mergeCell ref="K162:L162"/>
    <mergeCell ref="E161:F161"/>
    <mergeCell ref="E156:F156"/>
    <mergeCell ref="E157:F157"/>
    <mergeCell ref="E152:F152"/>
    <mergeCell ref="E154:F154"/>
    <mergeCell ref="E163:F163"/>
    <mergeCell ref="E155:F155"/>
    <mergeCell ref="E153:F153"/>
    <mergeCell ref="G154:H154"/>
    <mergeCell ref="G153:H153"/>
    <mergeCell ref="I168:J168"/>
    <mergeCell ref="K168:L168"/>
    <mergeCell ref="E165:F165"/>
    <mergeCell ref="E166:F166"/>
    <mergeCell ref="E167:F167"/>
    <mergeCell ref="I167:J167"/>
    <mergeCell ref="K167:L167"/>
    <mergeCell ref="I164:J164"/>
    <mergeCell ref="I165:J165"/>
    <mergeCell ref="G168:H168"/>
    <mergeCell ref="G166:H166"/>
    <mergeCell ref="G167:H167"/>
  </mergeCells>
  <conditionalFormatting sqref="M582:M587 M593:M624 M627 M642:M643">
    <cfRule type="expression" dxfId="730" priority="5" stopIfTrue="1">
      <formula>AND(COUNTIF($M$582:$M$587, M582)+COUNTIF($M$593:$M$624, M582)+COUNTIF($M$627:$M$627, M582)+COUNTIF($M$642:$M$644, M582)&gt;1,NOT(ISBLANK(M582)))</formula>
    </cfRule>
  </conditionalFormatting>
  <conditionalFormatting sqref="N616:Q619">
    <cfRule type="expression" dxfId="729" priority="1" stopIfTrue="1">
      <formula>AND(COUNTIF($M$582:$M$587, N616)+COUNTIF($M$593:$M$624, N616)+COUNTIF($M$627:$M$627, N616)+COUNTIF($M$642:$M$644, N616)&gt;1,NOT(ISBLANK(N616)))</formula>
    </cfRule>
  </conditionalFormatting>
  <dataValidations disablePrompts="1" count="1">
    <dataValidation type="list" allowBlank="1" showInputMessage="1" showErrorMessage="1" sqref="C1" xr:uid="{23C35CAD-7090-4138-B958-F75FDD80CDEB}">
      <formula1>$E$1:$L$1</formula1>
    </dataValidation>
  </dataValidations>
  <hyperlinks>
    <hyperlink ref="N315" r:id="rId1" xr:uid="{92C178D6-04AB-467D-B460-13F1EA7BE0F7}"/>
    <hyperlink ref="M315" r:id="rId2" xr:uid="{520B93AC-0648-47B4-8EF3-DC5C381451BF}"/>
  </hyperlinks>
  <pageMargins left="0.7" right="0.7" top="0.78740157499999996" bottom="0.78740157499999996" header="0.3" footer="0.3"/>
  <pageSetup paperSize="9" orientation="portrait" verticalDpi="300" r:id="rId3"/>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65536"/>
  <sheetViews>
    <sheetView showGridLines="0" showRowColHeaders="0" zoomScaleNormal="100" workbookViewId="0">
      <selection activeCell="H8" sqref="H8:Q8"/>
    </sheetView>
  </sheetViews>
  <sheetFormatPr defaultColWidth="0" defaultRowHeight="15"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71093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6.140625" style="423" customWidth="1"/>
    <col min="45" max="45" width="14.42578125" style="423" customWidth="1"/>
    <col min="46" max="46" width="14.140625" style="423" hidden="1" customWidth="1"/>
    <col min="47" max="48" width="14.140625" style="450" hidden="1" customWidth="1"/>
    <col min="49" max="55" width="14.140625" style="423" hidden="1" customWidth="1"/>
    <col min="56" max="65" width="0" style="423" hidden="1" customWidth="1"/>
    <col min="6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"&amp;1</f>
        <v>Rámeček  1</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IFERROR(IF(OR(VLOOKUP(H8,kombinace_1!$A:$E,5,0)=1,H8=kombinace_1!A27,H8=kombinace_1!A28),'Translate&amp;Prices&amp;Logo'!B635,""),"")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IFERROR(IF(kombinace_1!FC2=TRUE,'Translate&amp;Prices&amp;Logo'!B654,IF(VLOOKUP(H8,kombinace_1!$A:$E,5,0)=3,'Translate&amp;Prices&amp;Logo'!B642,"")),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IF(kombinace_1!FC2=TRUE,AB4,AU2)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VLOOKUP(H8,kombinace_1!$A:$B,2,0)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IF(AU10&gt;0,'Translate&amp;Prices&amp;Logo'!B303,IF(H8=kombinace_1!A58,'Translate&amp;Prices&amp;Logo'!B578,IF(H8=kombinace_1!A60,'Translate&amp;Prices&amp;Logo'!B579,IF(H8=kombinace_1!A62,'Translate&amp;Prices&amp;Logo'!B580,0))))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IFERROR(IF(AND(VLOOKUP(H8,kombinace_1!$A:$D,4,0)=1,kombinace_1!FC2=FALSE),'Translate&amp;Prices&amp;Logo'!$B$543,0),0)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VLOOKUP(H12,kombinace_1!$DP:$DQ,2,0)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IFERROR(VLOOKUP(H9,kombinace_1!$BY$13:$BZ$15,2,0),0)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IFERROR(IF(kombinace_1!$H$1=TRUE,BA2+AY3,0),0)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IF(AU9=2,INDIRECT(CONCATENATE("_",AV7,"_",H13,"_",AA29)),IF(AU9=3,INDIRECT(VLOOKUP(H13,kombinace_1!$AA:$AB,2,0))))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IF(H15=kombinace_1!AB40,'Translate&amp;Prices&amp;Logo'!$B$224,IF(H15=kombinace_1!AB41,'Translate&amp;Prices&amp;Logo'!$B$224,IF(H12=kombinace_1!BQ2,'Translate&amp;Prices&amp;Logo'!$B$222,'Translate&amp;Prices&amp;Logo'!$B$218)))</f>
        <v>Výběr pozice rámečku</v>
      </c>
      <c r="C16" s="654"/>
      <c r="D16" s="654"/>
      <c r="E16" s="654"/>
      <c r="F16" s="652"/>
      <c r="G16" s="652"/>
      <c r="H16" s="652"/>
      <c r="I16" s="652"/>
      <c r="J16" s="685" t="str">
        <f>IF(OR(H15=kombinace_1!AB40,H15=kombinace_1!AB7,H15=kombinace_1!AB15,H15=kombinace_1!AB21,H15=kombinace_1!AB22,H15=kombinace_1!AB23),'Translate&amp;Prices&amp;Logo'!$B$226,IF(H15=kombinace_1!AB41,'Translate&amp;Prices&amp;Logo'!$B$226,'Translate&amp;Prices&amp;Logo'!$B$232))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IF(H12='Translate&amp;Prices&amp;Logo'!B551,'Translate&amp;Prices&amp;Logo'!B238,IF(H15=kombinace_1!AB8,'Translate&amp;Prices&amp;Logo'!B284,0))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VLOOKUP(H17,kombinace_1!$BY:$BZ,2,0)</f>
        <v>#N/A</v>
      </c>
      <c r="AV17" s="452"/>
    </row>
    <row r="18" spans="1:52" ht="18" customHeight="1">
      <c r="A18" s="371"/>
      <c r="B18" s="632">
        <f>IFERROR(IF(VLOOKUP(H15,kombinace_1!CD:CE,2,0)=1,'Translate&amp;Prices&amp;Logo'!$B$547,0),0)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IFERROR(IF(H12='Translate&amp;Prices&amp;Logo'!B551,'Translate&amp;Prices&amp;Logo'!$B$223,IF(VLOOKUP(H15,kombinace_1!CD:CE,2,0)=1,'Translate&amp;Prices&amp;Logo'!$B$223,)),0)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IFERROR(IF(H12=kombinace_1!BR2,VLOOKUP(H15,kombinace_1!$CD:$CF,3,0),IF(H12=kombinace_1!BQ2,1,0)),0)</f>
        <v>0</v>
      </c>
      <c r="AV19" s="452">
        <f>IFERROR(VLOOKUP(H15,kombinace_1!$CD:$CF,3,0),0)</f>
        <v>0</v>
      </c>
    </row>
    <row r="20" spans="1:52" ht="18" customHeight="1">
      <c r="A20" s="371"/>
      <c r="B20" s="657">
        <f>IFERROR('Translate&amp;Prices&amp;Logo'!$B$242&amp;" "&amp;(VLOOKUP(H17,kombinace_1!$BY$32:$CA$35,2,0)),0)</f>
        <v>0</v>
      </c>
      <c r="C20" s="658"/>
      <c r="D20" s="658"/>
      <c r="E20" s="658"/>
      <c r="F20" s="651">
        <v>100</v>
      </c>
      <c r="G20" s="651"/>
      <c r="H20" s="651"/>
      <c r="I20" s="651"/>
      <c r="J20" s="658">
        <f>IFERROR('Translate&amp;Prices&amp;Logo'!$B$242&amp;" "&amp;(VLOOKUP(H17,kombinace_1!$BY$32:$CA$35,3,0)),0)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IF(kombinace_1!FC2=FALSE,'Translate&amp;Prices&amp;Logo'!$B$173,"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VLOOKUP(H17,kombinace_1!$BY:$BZ,2,0)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VLOOKUP(H27,kombinace_1!$BY:$BZ,2,0)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VLOOKUP(H14,kombinace_1!$DN$7:$DO$21,2,0)</f>
        <v>#N/A</v>
      </c>
      <c r="AB29" s="665">
        <f>IFERROR(IF(AND($AU$17&lt;=2,H12=kombinace_1!BQ2),'Translate&amp;Prices&amp;Logo'!$B$577,0),0)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VLOOKUP('Translate&amp;Prices&amp;Logo'!D1,kombinace_1!$EV$1:$EW$5,2,0)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c r="AU30" s="450" t="e">
        <f>HLOOKUP("_Úzký_dolny_K12",kombinace_1!CV2:CW19,3,FALSE)</f>
        <v>#N/A</v>
      </c>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c r="AU31" s="450" t="e">
        <f>CONCATENATE("_",AV7,"_",H15)</f>
        <v>#N/A</v>
      </c>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19.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IF(kombinace_1!V1=2,((AR14/1000)*(AI30/1000))*'Translate&amp;Prices&amp;Logo'!C94,0)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IF(kombinace_1!$V$1=3,IFERROR(((VLOOKUP(H24,'Translate&amp;Prices&amp;Logo'!B91:C93,2,0))*(AR14/1000)),0),0)</f>
        <v>0</v>
      </c>
    </row>
    <row r="36" spans="1:49" s="469" customFormat="1" ht="18.600000000000001" hidden="1" customHeight="1">
      <c r="A36" s="461"/>
      <c r="B36" s="469" t="str">
        <f t="array" ref="B36:B114">IF(kombinace_1!FC2=TRUE,_profily_síťka,IF(kombinace_1!H1=TRUE,_kombinovane_profily,_vše_profily))</f>
        <v>BRW (elox.)</v>
      </c>
      <c r="H36" s="469" t="str">
        <f t="array" ref="H36:H39">kombinace_1!$BY$13:$BY$15</f>
        <v>Horizontálně</v>
      </c>
      <c r="L36" s="469" t="str">
        <f t="array" ref="L36:M36">IF(kombinace_1!H1=TRUE,kombinace_1!$BQ$2:$BR$2,IF(H8=kombinace_1!A35,kombinace_1!$BQ$2,IF(H8=kombinace_1!A36,kombinace_1!$BQ$2,IF(H8=kombinace_1!A37,kombinace_1!$BQ$2,IF(H8=kombinace_1!A64,kombinace_1!$BQ$2,IF(H8=kombinace_1!A65,kombinace_1!$BQ$2,IF(H8=kombinace_1!A66,kombinace_1!$BQ$2,IF(H8=kombinace_1!A67,kombinace_1!$BQ$2,kombinace_1!$BQ$2:$BR$2))))))))</f>
        <v>Závěsy</v>
      </c>
      <c r="M36" s="469" t="str">
        <v>Závěsy</v>
      </c>
      <c r="P36" s="469" t="str">
        <f t="array" ref="P36:P38">IF(H13=kombinace_1!BQ11,kombinace_1!$DN$2,kombinace_1!$DN$2:$DN$4)</f>
        <v>Naložený</v>
      </c>
      <c r="T36" s="469" t="e">
        <f t="array" aca="1" ref="T36:T45" ca="1">IF(H13=kombinace_1!BQ11,kombinace_1!$FA$2:$FA$9,IF(AND(OR(H8=kombinace_1!A35,H8=kombinace_1!A37),H13=kombinace_1!BQ4),INDIRECT(VLOOKUP(CONCATENATE("_",$AV$7,"_",$H$13,"_",$AA$29,"_Rocca"),kombinace_1!$ER:$ES,2,0)),IF($AU$9=2,INDIRECT(VLOOKUP(CONCATENATE("_",$AV$7,"_",$H$13,"_",$AA$29),kombinace_1!$ER:$ES,2,0)),IF($AU$9=3,INDIRECT(VLOOKUP($T$47,kombinace_1!$AA:$AB,2,0)),$Y$48))))</f>
        <v>#N/A</v>
      </c>
      <c r="Y36" s="469" t="str">
        <f t="array" ref="Y36:Y39">IF(kombinace_1!$H$1=TRUE,_znacka_zavesy,IF($H$12=kombinace_1!$BQ$2,_znacka_zavesy,_znacka_vyklopy))</f>
        <v>Blum</v>
      </c>
      <c r="AF36" s="469" t="e">
        <f t="array" aca="1" ref="AF36" ca="1">INDIRECT(CONCATENATE("_",AV7,"_",H15))</f>
        <v>#N/A</v>
      </c>
      <c r="AJ36" s="469">
        <f t="array" ref="AJ36:AJ40">IF(AM19&lt;2100,kombinace_1!BY8:BY12,kombinace_1!BY8:BY12)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IF($H$12=kombinace_1!$BQ$2,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IF(kombinace_1!H1=TRUE,kombinace_1!$BQ$2:$BR$2,IF(H8=kombinace_1!A35,kombinace_1!$BQ$2,IF(H8=kombinace_1!A36,kombinace_1!$BQ$2,IF(H8=kombinace_1!A37,kombinace_1!$BQ$2,kombinace_1!$BQ$2:$BR$2))))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CONCATENATE(H13,"_",VLOOKUP(kombinace_1!H1,kombinace_1!$J$14:$K$15,2,0))</f>
        <v>_2</v>
      </c>
    </row>
    <row r="48" spans="1:49" s="469" customFormat="1" ht="14.85" hidden="1" customHeight="1">
      <c r="A48" s="452"/>
      <c r="B48" s="469" t="str">
        <v>Corleone (elox.)</v>
      </c>
      <c r="T48" s="469" t="e">
        <f>VLOOKUP(CONCATENATE("_",AV7,"_",H13,"_",AA29),kombinace_1!ER:ES,2,0)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IF($H$15=kombinace_1!$AB$40,_strong_vzpera_horni,IF($H$15=kombinace_1!$AB$41,_stronglift_klopna,IF($H$12=kombinace_1!$BQ$2,$J$65:$J$71,'Translate&amp;Prices&amp;Logo'!$B$185:$B$186)))</f>
        <v>Horní dvířko</v>
      </c>
      <c r="K54" s="469" t="str">
        <f t="array" ref="K54:K58">IF(OR($H$15=kombinace_1!AB40,$H$15=kombinace_1!AB7,$H$15=kombinace_1!AB15,$H$15=kombinace_1!AB21,$H$15=kombinace_1!AB22,$H$15=kombinace_1!AB23),'Translate&amp;Prices&amp;Logo'!$B$229:$B$231,IF($H$15=kombinace_1!AB41,'Translate&amp;Prices&amp;Logo'!$B$229:$B$231,'Translate&amp;Prices&amp;Logo'!$B$233:$B$237))</f>
        <v>Úzký ALU rámeček</v>
      </c>
      <c r="P54" s="469" t="str">
        <f t="array" ref="P54:P57">IF(OR(H8=kombinace_1!F14,H8=kombinace_1!F15,H8=kombinace_1!F16,H8=kombinace_1!F17,H8=kombinace_1!F18,H8=kombinace_1!F19),_zavesy_kombo,IF(H15=kombinace_1!AB8,_ramena_HL,_umisteni_zavesu))</f>
        <v>Vlevo</v>
      </c>
      <c r="T54" s="469" t="str">
        <f t="array" ref="T54:T56">kombinace_1!$EN$3:$EN$5</f>
        <v>Bez úprav</v>
      </c>
      <c r="U54" s="469">
        <v>1</v>
      </c>
      <c r="X54" s="469" t="str">
        <f t="array" ref="X54:X56">kombinace_1!$X$3:$X$5</f>
        <v>Transparentní</v>
      </c>
      <c r="AD54" s="469" t="str">
        <f t="array" aca="1" ref="AD54:AD116" ca="1">IF(kombinace_1!FC2=TRUE,IF(OR(H8=kombinace_1!A13,H8=kombinace_1!A55),síťka_pro_zlatýprofil,IF(OR(H8=kombinace_1!A7,H8=kombinace_1!A51),síťka_pro_černýprofil,IF(OR(H8=kombinace_1!A4,H8=kombinace_1!A5,H8=kombinace_1!A53,H8=kombinace_1!A54),síťka_pro_bílýprofil,IF(OR(H8=kombinace_1!A3,H8=kombinace_1!A50),síťka_pro_eloxprofil)))),IF(OR(H8=kombinace_1!A15,H8=kombinace_1!A16,H8=kombinace_1!A18,H8=kombinace_1!A27,H8=kombinace_1!A28,H8=kombinace_1!A25,H8=kombinace_1!A26),_corleone,IF(H8="",_N1,INDIRECT(kombinace_1!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65536" ht="29.25" hidden="1" customHeight="1"/>
  </sheetData>
  <sheetProtection algorithmName="SHA-512" hashValue="JvFR0yXQqPoo9ul1iMXALmElJ7Jhf4KxdW8ZecCkCi+jysEDyS8w73HKZ9bxCmyCFPQhOYteUzk0NkgHHqGbzQ==" saltValue="NAxlLy0QGnPUDFzYAFQXEg==" spinCount="100000" sheet="1" objects="1" scenarios="1" selectLockedCells="1"/>
  <protectedRanges>
    <protectedRange sqref="G7 I7:R7" name="Oblast1"/>
  </protectedRanges>
  <mergeCells count="94">
    <mergeCell ref="P30:Q31"/>
    <mergeCell ref="AI30:AK30"/>
    <mergeCell ref="AJ26:AJ27"/>
    <mergeCell ref="AC25:AD25"/>
    <mergeCell ref="AE10:AE16"/>
    <mergeCell ref="AB19:AC19"/>
    <mergeCell ref="N20:Q20"/>
    <mergeCell ref="J29:Q29"/>
    <mergeCell ref="H23:Q23"/>
    <mergeCell ref="B30:J31"/>
    <mergeCell ref="S25:Y31"/>
    <mergeCell ref="S24:U24"/>
    <mergeCell ref="B27:F27"/>
    <mergeCell ref="B13:F13"/>
    <mergeCell ref="B24:F24"/>
    <mergeCell ref="B25:F25"/>
    <mergeCell ref="AR19:AR23"/>
    <mergeCell ref="AC8:AG8"/>
    <mergeCell ref="AJ7:AJ8"/>
    <mergeCell ref="AN19:AO19"/>
    <mergeCell ref="AL19:AL25"/>
    <mergeCell ref="B26:F26"/>
    <mergeCell ref="B15:F15"/>
    <mergeCell ref="B28:F28"/>
    <mergeCell ref="AO31:AR32"/>
    <mergeCell ref="S7:U7"/>
    <mergeCell ref="K30:K31"/>
    <mergeCell ref="AC9:AD9"/>
    <mergeCell ref="AC24:AG24"/>
    <mergeCell ref="H27:Q27"/>
    <mergeCell ref="AF30:AH30"/>
    <mergeCell ref="B32:Q32"/>
    <mergeCell ref="H28:Q28"/>
    <mergeCell ref="B19:F19"/>
    <mergeCell ref="N16:Q16"/>
    <mergeCell ref="J16:M16"/>
    <mergeCell ref="H26:Q26"/>
    <mergeCell ref="H29:I29"/>
    <mergeCell ref="H24:Q24"/>
    <mergeCell ref="AB29:AO29"/>
    <mergeCell ref="AM23:AM25"/>
    <mergeCell ref="J20:M20"/>
    <mergeCell ref="AM14:AM21"/>
    <mergeCell ref="H25:Q25"/>
    <mergeCell ref="H21:Q21"/>
    <mergeCell ref="H14:Q14"/>
    <mergeCell ref="S18:Y23"/>
    <mergeCell ref="R5:T5"/>
    <mergeCell ref="B21:F21"/>
    <mergeCell ref="F20:I20"/>
    <mergeCell ref="H19:Q19"/>
    <mergeCell ref="H17:Q17"/>
    <mergeCell ref="F16:I16"/>
    <mergeCell ref="B18:F18"/>
    <mergeCell ref="B16:E16"/>
    <mergeCell ref="B9:F9"/>
    <mergeCell ref="B11:F11"/>
    <mergeCell ref="B20:E20"/>
    <mergeCell ref="B17:F17"/>
    <mergeCell ref="B12:F12"/>
    <mergeCell ref="G7:Q7"/>
    <mergeCell ref="S8:Y9"/>
    <mergeCell ref="B33:Y33"/>
    <mergeCell ref="AD10:AD12"/>
    <mergeCell ref="AQ7:AQ27"/>
    <mergeCell ref="S10:Y12"/>
    <mergeCell ref="S13:Y17"/>
    <mergeCell ref="M11:Q11"/>
    <mergeCell ref="B7:F7"/>
    <mergeCell ref="AF9:AK9"/>
    <mergeCell ref="AD14:AD21"/>
    <mergeCell ref="H8:Q8"/>
    <mergeCell ref="H15:Q15"/>
    <mergeCell ref="H12:Q12"/>
    <mergeCell ref="H18:Q18"/>
    <mergeCell ref="H13:Q13"/>
    <mergeCell ref="L30:O31"/>
    <mergeCell ref="AF25:AK25"/>
    <mergeCell ref="BI3:BM3"/>
    <mergeCell ref="AP2:AS3"/>
    <mergeCell ref="V5:X5"/>
    <mergeCell ref="AR14:AR18"/>
    <mergeCell ref="A2:AJ3"/>
    <mergeCell ref="M10:Q10"/>
    <mergeCell ref="H9:Q9"/>
    <mergeCell ref="H11:L11"/>
    <mergeCell ref="H10:L10"/>
    <mergeCell ref="B14:F14"/>
    <mergeCell ref="B5:D5"/>
    <mergeCell ref="F5:H5"/>
    <mergeCell ref="J5:L5"/>
    <mergeCell ref="N5:P5"/>
    <mergeCell ref="AB4:AN5"/>
    <mergeCell ref="BD3:BH3"/>
  </mergeCells>
  <conditionalFormatting sqref="A1:AS1 A4:AB4 AO4:AS5 A5 E5 I5 M5 Q5 U5 Y5:AA5 A6:Z6 AR6:AS13 V7:Z7 A7:A32 R8:R31 Z8:Z31 AS14:AS32 AR24:AR30 B29:G29 AA29 AP29:AQ29 AA30:AE30 AL30:AQ30 AA31:AN31 R32:AN32 A33:B33 Z33:AE33 AG33:IV33">
    <cfRule type="expression" dxfId="728" priority="46">
      <formula>$AS$33=1</formula>
    </cfRule>
  </conditionalFormatting>
  <conditionalFormatting sqref="B5 F5 J5 N5 R5 V5">
    <cfRule type="cellIs" dxfId="727" priority="54" operator="equal">
      <formula>$A$2</formula>
    </cfRule>
  </conditionalFormatting>
  <conditionalFormatting sqref="B10:G10">
    <cfRule type="expression" dxfId="726" priority="45">
      <formula>$AS$33=1</formula>
    </cfRule>
  </conditionalFormatting>
  <conditionalFormatting sqref="B16:I16">
    <cfRule type="expression" dxfId="725" priority="314">
      <formula>$AU$19=0</formula>
    </cfRule>
  </conditionalFormatting>
  <conditionalFormatting sqref="B9:Q9">
    <cfRule type="expression" dxfId="724" priority="90">
      <formula>$B$9=0</formula>
    </cfRule>
  </conditionalFormatting>
  <conditionalFormatting sqref="B11:Q11">
    <cfRule type="expression" dxfId="723" priority="295">
      <formula>$AU$10=0</formula>
    </cfRule>
  </conditionalFormatting>
  <conditionalFormatting sqref="B14:Q14">
    <cfRule type="expression" dxfId="722" priority="88">
      <formula>$B$14=0</formula>
    </cfRule>
  </conditionalFormatting>
  <conditionalFormatting sqref="B17:Q17">
    <cfRule type="expression" dxfId="721" priority="82">
      <formula>$B$17=0</formula>
    </cfRule>
  </conditionalFormatting>
  <conditionalFormatting sqref="B18:Q18">
    <cfRule type="expression" dxfId="720" priority="32" stopIfTrue="1">
      <formula>$B$18=0</formula>
    </cfRule>
    <cfRule type="expression" dxfId="719" priority="35">
      <formula>$F$16=$H$61</formula>
    </cfRule>
  </conditionalFormatting>
  <conditionalFormatting sqref="B19:Q19">
    <cfRule type="expression" dxfId="718" priority="81">
      <formula>$B$19=0</formula>
    </cfRule>
  </conditionalFormatting>
  <conditionalFormatting sqref="B20:Q20">
    <cfRule type="expression" dxfId="717" priority="56">
      <formula>$B$19=0</formula>
    </cfRule>
    <cfRule type="expression" dxfId="716" priority="55">
      <formula>$B$20=0</formula>
    </cfRule>
  </conditionalFormatting>
  <conditionalFormatting sqref="B21:Q21">
    <cfRule type="expression" dxfId="715" priority="7">
      <formula>$B$21=" "</formula>
    </cfRule>
  </conditionalFormatting>
  <conditionalFormatting sqref="B24:Q24">
    <cfRule type="expression" dxfId="714" priority="39" stopIfTrue="1">
      <formula>$T$59&lt;3</formula>
    </cfRule>
  </conditionalFormatting>
  <conditionalFormatting sqref="H23">
    <cfRule type="expression" dxfId="713" priority="257">
      <formula>$H$25&gt;0</formula>
    </cfRule>
  </conditionalFormatting>
  <conditionalFormatting sqref="H10:L11">
    <cfRule type="expression" dxfId="712" priority="50">
      <formula>$AU$10=2</formula>
    </cfRule>
  </conditionalFormatting>
  <conditionalFormatting sqref="H10:Q10">
    <cfRule type="expression" dxfId="711" priority="49">
      <formula>$AU$10=0</formula>
    </cfRule>
  </conditionalFormatting>
  <conditionalFormatting sqref="H22:Q22 B22:G23">
    <cfRule type="expression" dxfId="710" priority="44">
      <formula>$AS$33=1</formula>
    </cfRule>
  </conditionalFormatting>
  <conditionalFormatting sqref="J16:M16">
    <cfRule type="expression" dxfId="709" priority="34" stopIfTrue="1">
      <formula>$K$60=TRUE</formula>
    </cfRule>
  </conditionalFormatting>
  <conditionalFormatting sqref="J16:N16">
    <cfRule type="expression" dxfId="708" priority="37" stopIfTrue="1">
      <formula>$AV$19=0</formula>
    </cfRule>
  </conditionalFormatting>
  <conditionalFormatting sqref="M10:Q11">
    <cfRule type="expression" dxfId="707" priority="48">
      <formula>$AU$10=1</formula>
    </cfRule>
  </conditionalFormatting>
  <conditionalFormatting sqref="N16:Q16">
    <cfRule type="expression" dxfId="706" priority="33" stopIfTrue="1">
      <formula>$K$60=TRUE</formula>
    </cfRule>
  </conditionalFormatting>
  <conditionalFormatting sqref="S7:S8">
    <cfRule type="cellIs" dxfId="705" priority="58" operator="equal">
      <formula>0</formula>
    </cfRule>
  </conditionalFormatting>
  <conditionalFormatting sqref="S24">
    <cfRule type="cellIs" dxfId="704" priority="57" operator="equal">
      <formula>0</formula>
    </cfRule>
  </conditionalFormatting>
  <conditionalFormatting sqref="S8:Y23 AQ7:AQ27 S25:Y31 AB29:AO29">
    <cfRule type="expression" dxfId="703" priority="42">
      <formula>$AS$33=1</formula>
    </cfRule>
  </conditionalFormatting>
  <conditionalFormatting sqref="S8:Y23">
    <cfRule type="cellIs" dxfId="702" priority="52" operator="equal">
      <formula>0</formula>
    </cfRule>
  </conditionalFormatting>
  <conditionalFormatting sqref="S18:Y23">
    <cfRule type="expression" dxfId="701" priority="38" stopIfTrue="1">
      <formula>$S$18=FALSE</formula>
    </cfRule>
  </conditionalFormatting>
  <conditionalFormatting sqref="V24:Y24">
    <cfRule type="expression" dxfId="700" priority="43">
      <formula>$AS$33=1</formula>
    </cfRule>
  </conditionalFormatting>
  <conditionalFormatting sqref="AA9:AA10 AA24:AA25">
    <cfRule type="expression" dxfId="699" priority="11" stopIfTrue="1">
      <formula>$AU$17=1</formula>
    </cfRule>
  </conditionalFormatting>
  <conditionalFormatting sqref="AA16:AA17">
    <cfRule type="expression" dxfId="698" priority="3" stopIfTrue="1">
      <formula>$AU$24="1_3"</formula>
    </cfRule>
  </conditionalFormatting>
  <conditionalFormatting sqref="AC6:AD6 AM6:AN6">
    <cfRule type="expression" dxfId="697" priority="15" stopIfTrue="1">
      <formula>$AU$17=3</formula>
    </cfRule>
  </conditionalFormatting>
  <conditionalFormatting sqref="AC25:AD25 AJ26:AJ27">
    <cfRule type="expression" dxfId="696" priority="266">
      <formula>$AU$25=4</formula>
    </cfRule>
  </conditionalFormatting>
  <conditionalFormatting sqref="AC28:AD28 AM28:AN28">
    <cfRule type="expression" dxfId="695" priority="14" stopIfTrue="1">
      <formula>$AU$17=4</formula>
    </cfRule>
  </conditionalFormatting>
  <conditionalFormatting sqref="AC8:AG8">
    <cfRule type="expression" dxfId="694" priority="278">
      <formula>$AU$25=3</formula>
    </cfRule>
  </conditionalFormatting>
  <conditionalFormatting sqref="AC24:AG24">
    <cfRule type="expression" dxfId="693" priority="275">
      <formula>$AU$25=4</formula>
    </cfRule>
  </conditionalFormatting>
  <conditionalFormatting sqref="AD10:AD12 AB19:AC19">
    <cfRule type="expression" dxfId="692" priority="260">
      <formula>$AU$25=1</formula>
    </cfRule>
  </conditionalFormatting>
  <conditionalFormatting sqref="AD14:AD21">
    <cfRule type="expression" dxfId="691" priority="259">
      <formula>$AU$25=1</formula>
    </cfRule>
  </conditionalFormatting>
  <conditionalFormatting sqref="AE10:AE16">
    <cfRule type="expression" dxfId="690" priority="276">
      <formula>$AU$25=1</formula>
    </cfRule>
  </conditionalFormatting>
  <conditionalFormatting sqref="AF9:AK9">
    <cfRule type="expression" dxfId="689" priority="263">
      <formula>$AU$25=3</formula>
    </cfRule>
  </conditionalFormatting>
  <conditionalFormatting sqref="AF25:AK25">
    <cfRule type="expression" dxfId="688" priority="265">
      <formula>$AU$25=4</formula>
    </cfRule>
  </conditionalFormatting>
  <conditionalFormatting sqref="AG6:AH6">
    <cfRule type="expression" dxfId="687" priority="9" stopIfTrue="1">
      <formula>$AU$24="3_3"</formula>
    </cfRule>
  </conditionalFormatting>
  <conditionalFormatting sqref="AG28:AH28">
    <cfRule type="expression" dxfId="686" priority="8" stopIfTrue="1">
      <formula>$AU$24="4_3"</formula>
    </cfRule>
  </conditionalFormatting>
  <conditionalFormatting sqref="AI19">
    <cfRule type="expression" dxfId="685" priority="1" stopIfTrue="1">
      <formula>AV1048555=2</formula>
    </cfRule>
  </conditionalFormatting>
  <conditionalFormatting sqref="AJ7:AJ8 AC9:AD9">
    <cfRule type="expression" dxfId="684" priority="264">
      <formula>$AU$25=3</formula>
    </cfRule>
  </conditionalFormatting>
  <conditionalFormatting sqref="AL19:AL25">
    <cfRule type="expression" dxfId="683" priority="277">
      <formula>$AU$25=2</formula>
    </cfRule>
  </conditionalFormatting>
  <conditionalFormatting sqref="AM14:AM21">
    <cfRule type="expression" dxfId="682" priority="261">
      <formula>$AU$25=2</formula>
    </cfRule>
  </conditionalFormatting>
  <conditionalFormatting sqref="AN19:AO19 AM23:AM25">
    <cfRule type="expression" dxfId="681" priority="262">
      <formula>$AU$25=2</formula>
    </cfRule>
  </conditionalFormatting>
  <conditionalFormatting sqref="AP9:AP10 AP24:AP25">
    <cfRule type="expression" dxfId="680" priority="10" stopIfTrue="1">
      <formula>$AU$17=2</formula>
    </cfRule>
  </conditionalFormatting>
  <conditionalFormatting sqref="AP16:AP17">
    <cfRule type="expression" dxfId="679" priority="18" stopIfTrue="1">
      <formula>$AU$24="2_3"</formula>
    </cfRule>
  </conditionalFormatting>
  <conditionalFormatting sqref="AQ6 AQ28">
    <cfRule type="expression" dxfId="678" priority="41">
      <formula>$AS$33=1</formula>
    </cfRule>
  </conditionalFormatting>
  <conditionalFormatting sqref="AQ7:AQ27 AB29:AO29">
    <cfRule type="cellIs" dxfId="677" priority="47" operator="equal">
      <formula>0</formula>
    </cfRule>
  </conditionalFormatting>
  <dataValidations count="24">
    <dataValidation type="list" allowBlank="1" showInputMessage="1" showErrorMessage="1" sqref="H27:Q27" xr:uid="{266F6EC3-0B11-48CB-9286-EF19975066DB}">
      <formula1>_umisteni_zavesu</formula1>
    </dataValidation>
    <dataValidation type="whole" operator="lessThan" showErrorMessage="1" errorTitle="MAX 2500" error="MAXIMUM 1250 mm x 2550 mm" sqref="AR14:AR18" xr:uid="{FD57B4EE-A13B-4947-991C-BC72338FCFC9}">
      <formula1>IF(AI30&gt;=1251,1251,2551)</formula1>
    </dataValidation>
    <dataValidation type="whole" operator="lessThan" showErrorMessage="1" errorTitle="MAX 1300 mm" error="MAXIMUM 1250 mm x 2550 mm" sqref="AI30:AK30" xr:uid="{CE6BC6DD-DD61-445B-A0BF-AAC90A5E15DB}">
      <formula1>IF(AR14&gt;1252,1251,2551)</formula1>
    </dataValidation>
    <dataValidation type="whole" allowBlank="1" showInputMessage="1" showErrorMessage="1" errorTitle="Minimum 80 mm" sqref="F20:I20 N20:Q20" xr:uid="{1B3E60EE-3561-46DD-9DA3-06C2CBFC8810}">
      <formula1>80</formula1>
      <formula2>1300</formula2>
    </dataValidation>
    <dataValidation type="whole" allowBlank="1" showInputMessage="1" showErrorMessage="1" sqref="K11" xr:uid="{C7F53F8D-0D7D-4FD1-BED1-9AEC7F4C8D88}">
      <formula1>1</formula1>
      <formula2>(#REF!/100)-1</formula2>
    </dataValidation>
    <dataValidation type="whole" allowBlank="1" showInputMessage="1" showErrorMessage="1" sqref="M11:Q11" xr:uid="{8D32126D-58F0-473C-A342-72ED3349A603}">
      <formula1>1</formula1>
      <formula2>(AI30/100)-1</formula2>
    </dataValidation>
    <dataValidation type="whole" allowBlank="1" showInputMessage="1" showErrorMessage="1" sqref="H11:I11" xr:uid="{81AAD554-87F9-4D94-A816-949857B91796}">
      <formula1>1</formula1>
      <formula2>(AR14/100)-1</formula2>
    </dataValidation>
    <dataValidation type="whole" allowBlank="1" showInputMessage="1" showErrorMessage="1" sqref="J11 L11" xr:uid="{2D6CA1BF-8544-4406-8A05-F1CF4A30A10A}">
      <formula1>1</formula1>
      <formula2>(V16/100)-1</formula2>
    </dataValidation>
    <dataValidation type="whole" operator="greaterThanOrEqual" allowBlank="1" showInputMessage="1" showErrorMessage="1" sqref="H26:Q26" xr:uid="{50F7CCFB-6FC4-426B-BF54-64041888503A}">
      <formula1>1</formula1>
    </dataValidation>
    <dataValidation type="list" allowBlank="1" showInputMessage="1" showErrorMessage="1" sqref="H8:Q8" xr:uid="{2F401E1A-F9E1-4341-BBE0-995B54A93307}">
      <formula1>_Roletka_profil_1</formula1>
    </dataValidation>
    <dataValidation type="list" allowBlank="1" showInputMessage="1" showErrorMessage="1" sqref="H9:Q9" xr:uid="{CB1101F2-CBE5-4BA0-AA86-CBE3377D3481}">
      <formula1>_roletka_predely</formula1>
    </dataValidation>
    <dataValidation type="list" allowBlank="1" showInputMessage="1" showErrorMessage="1" sqref="H12:Q12" xr:uid="{E3512E98-911B-4600-8C4C-7AE18A4AF184}">
      <formula1>$L$36:$M$36</formula1>
    </dataValidation>
    <dataValidation type="list" allowBlank="1" showInputMessage="1" showErrorMessage="1" sqref="H13:Q13" xr:uid="{718AA493-A054-4935-BB6F-0446123C58C9}">
      <formula1>IF(M38="Salice",$L$38,$L$38:$L$42)</formula1>
    </dataValidation>
    <dataValidation type="list" allowBlank="1" showInputMessage="1" showErrorMessage="1" sqref="H14:Q14" xr:uid="{C3065687-46BC-49D4-99AC-7D2CD57B2110}">
      <formula1>$P$36:$P$38</formula1>
    </dataValidation>
    <dataValidation type="list" allowBlank="1" showInputMessage="1" showErrorMessage="1" sqref="F16:I16" xr:uid="{9661C301-78B9-4471-AEA0-698CB5F643B8}">
      <formula1>$H$54:$H$60</formula1>
    </dataValidation>
    <dataValidation type="list" allowBlank="1" showInputMessage="1" showErrorMessage="1" sqref="N16:Q16" xr:uid="{FEA42921-E863-4D6E-BD0F-062CFE53B65B}">
      <formula1>$K$54:$K$58</formula1>
    </dataValidation>
    <dataValidation type="list" allowBlank="1" showInputMessage="1" showErrorMessage="1" sqref="H17:Q17" xr:uid="{3C8DFA26-C366-4C5F-AD86-FEC1CE7C2321}">
      <formula1>$P$54:$P$57</formula1>
    </dataValidation>
    <dataValidation type="list" allowBlank="1" showInputMessage="1" showErrorMessage="1" sqref="H19:Q19" xr:uid="{92DD93AF-EE99-4A7A-8D3C-D89047005545}">
      <formula1>IF(H13="Salice",$AJ$36,($AJ$36:$AJ$40))</formula1>
    </dataValidation>
    <dataValidation type="list" allowBlank="1" showInputMessage="1" showErrorMessage="1" sqref="H21:Q21" xr:uid="{93018FE1-8256-4B6E-A132-9FF705D47C9A}">
      <formula1>$T$54:$T$56</formula1>
    </dataValidation>
    <dataValidation type="list" allowBlank="1" showInputMessage="1" showErrorMessage="1" sqref="H24:Q24" xr:uid="{C7597E81-64EA-449A-83D5-F0C097F22BCC}">
      <formula1>$X$54:$X$56</formula1>
    </dataValidation>
    <dataValidation type="list" allowBlank="1" showInputMessage="1" showErrorMessage="1" sqref="H25:Q25" xr:uid="{F1002144-C559-4075-95BC-E0F50607A2C0}">
      <formula1>$AD$54:$AD$111</formula1>
    </dataValidation>
    <dataValidation type="list" allowBlank="1" showInputMessage="1" showErrorMessage="1" sqref="H15:Q15" xr:uid="{BFD280B8-C013-48E3-B96D-1350CCC27961}">
      <formula1>$T$36:$T$45</formula1>
    </dataValidation>
    <dataValidation type="list" allowBlank="1" showInputMessage="1" showErrorMessage="1" sqref="H29:I29" xr:uid="{FE1B4C07-C8A4-43AD-BB2A-357740817B4D}">
      <formula1>$F$29:$G$29</formula1>
    </dataValidation>
    <dataValidation type="list" allowBlank="1" showInputMessage="1" showErrorMessage="1" sqref="H18:Q18" xr:uid="{3AF4E4EC-2149-4197-B6D8-0A18F834DC8F}">
      <formula1>INDIRECT(CONCATENATE("_",AV7,"_",H15))</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H570"/>
  <sheetViews>
    <sheetView topLeftCell="BP1" workbookViewId="0">
      <selection activeCell="CD16" sqref="CD16"/>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8" width="19.42578125" bestFit="1"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2" max="162" width="17" customWidth="1"/>
  </cols>
  <sheetData>
    <row r="1" spans="1:164">
      <c r="A1" t="s">
        <v>38</v>
      </c>
      <c r="F1" t="s">
        <v>1985</v>
      </c>
      <c r="H1" t="b">
        <v>0</v>
      </c>
      <c r="M1" t="s">
        <v>1986</v>
      </c>
      <c r="P1" t="e">
        <f t="array" ref="P1">IF($S$1=Varianta_N1,_N1,IF($S$1=Varianta_A1,_A1,IF($S$1=Varianta_N2,_N2,IF($S$1=Varianta_A2,_A2,IF($S$1=Varianta_N3,_N3,IF($S$1=Varianta_A3,_A3,0))))))</f>
        <v>#N/A</v>
      </c>
      <c r="Q1" s="485" t="s">
        <v>2053</v>
      </c>
      <c r="R1" s="12" t="e">
        <f>VLOOKUP(Ram_1!H8,kombinace_1!$A:$C,3,0)</f>
        <v>#N/A</v>
      </c>
      <c r="S1" t="e">
        <f>CONCATENATE("_",R1,V1)</f>
        <v>#N/A</v>
      </c>
      <c r="U1" s="485" t="s">
        <v>2052</v>
      </c>
      <c r="V1" s="12">
        <f>IFERROR(VLOOKUP(Ram_1!H21,$EN$3:$EO$5,2,0),1)</f>
        <v>1</v>
      </c>
      <c r="X1" t="s">
        <v>1987</v>
      </c>
      <c r="AA1" t="s">
        <v>1078</v>
      </c>
      <c r="AF1" t="s">
        <v>1988</v>
      </c>
      <c r="AX1" t="s">
        <v>728</v>
      </c>
      <c r="BC1" t="s">
        <v>22</v>
      </c>
      <c r="BK1" t="s">
        <v>1024</v>
      </c>
      <c r="BM1" t="s">
        <v>2042</v>
      </c>
      <c r="BQ1" t="s">
        <v>1434</v>
      </c>
      <c r="DW1" t="s">
        <v>984</v>
      </c>
      <c r="DX1" t="s">
        <v>984</v>
      </c>
      <c r="ER1" t="s">
        <v>3416</v>
      </c>
      <c r="ES1" t="s">
        <v>3421</v>
      </c>
      <c r="EV1">
        <v>1</v>
      </c>
      <c r="EW1" t="s">
        <v>3438</v>
      </c>
      <c r="EY1" t="s">
        <v>3602</v>
      </c>
      <c r="FA1" t="s">
        <v>3603</v>
      </c>
      <c r="FC1" t="s">
        <v>3601</v>
      </c>
      <c r="FE1" t="s">
        <v>3631</v>
      </c>
      <c r="FF1" t="s">
        <v>3632</v>
      </c>
      <c r="FG1" t="s">
        <v>3633</v>
      </c>
      <c r="FH1" t="s">
        <v>3634</v>
      </c>
    </row>
    <row r="2" spans="1:164">
      <c r="A2" t="s">
        <v>1989</v>
      </c>
      <c r="B2" t="s">
        <v>2046</v>
      </c>
      <c r="C2" t="s">
        <v>2047</v>
      </c>
      <c r="D2" t="s">
        <v>1986</v>
      </c>
      <c r="F2" t="s">
        <v>1991</v>
      </c>
      <c r="G2" t="s">
        <v>1992</v>
      </c>
      <c r="H2" t="s">
        <v>1993</v>
      </c>
      <c r="I2" t="s">
        <v>1994</v>
      </c>
      <c r="M2" t="s">
        <v>1995</v>
      </c>
      <c r="P2" t="s">
        <v>2048</v>
      </c>
      <c r="Q2" t="s">
        <v>2045</v>
      </c>
      <c r="R2" t="s">
        <v>2049</v>
      </c>
      <c r="S2" t="s">
        <v>2044</v>
      </c>
      <c r="T2" t="s">
        <v>2050</v>
      </c>
      <c r="U2" t="s">
        <v>1987</v>
      </c>
      <c r="V2" t="s">
        <v>2051</v>
      </c>
      <c r="X2" t="s">
        <v>1996</v>
      </c>
      <c r="Y2" t="s">
        <v>1997</v>
      </c>
      <c r="AA2" t="s">
        <v>1434</v>
      </c>
      <c r="AB2" t="s">
        <v>1998</v>
      </c>
      <c r="AC2" t="s">
        <v>1999</v>
      </c>
      <c r="AD2" t="s">
        <v>1024</v>
      </c>
      <c r="AF2" s="159" t="s">
        <v>2000</v>
      </c>
      <c r="AG2" s="159" t="s">
        <v>1023</v>
      </c>
      <c r="AH2">
        <v>1</v>
      </c>
      <c r="AI2">
        <v>2</v>
      </c>
      <c r="AJ2">
        <v>3</v>
      </c>
      <c r="AK2">
        <v>4</v>
      </c>
      <c r="AL2">
        <v>5</v>
      </c>
      <c r="AM2">
        <v>6</v>
      </c>
      <c r="AN2">
        <v>7</v>
      </c>
      <c r="AO2">
        <v>8</v>
      </c>
      <c r="AP2">
        <v>9</v>
      </c>
      <c r="AQ2">
        <v>10</v>
      </c>
      <c r="AR2">
        <v>11</v>
      </c>
      <c r="AS2">
        <v>12</v>
      </c>
      <c r="AT2">
        <v>13</v>
      </c>
      <c r="AU2">
        <v>14</v>
      </c>
      <c r="AV2">
        <v>15</v>
      </c>
      <c r="AX2" t="s">
        <v>1990</v>
      </c>
      <c r="AY2" t="s">
        <v>1434</v>
      </c>
      <c r="AZ2" t="s">
        <v>2001</v>
      </c>
      <c r="BA2" t="s">
        <v>2002</v>
      </c>
      <c r="BC2" s="486">
        <v>1</v>
      </c>
      <c r="BD2" s="486">
        <v>2</v>
      </c>
      <c r="BE2" s="486">
        <v>3</v>
      </c>
      <c r="BF2" s="486">
        <v>4</v>
      </c>
      <c r="BG2" s="486">
        <v>5</v>
      </c>
      <c r="BH2" s="486">
        <v>6</v>
      </c>
      <c r="BI2" s="486">
        <v>7</v>
      </c>
      <c r="BK2" s="486" t="s">
        <v>2003</v>
      </c>
      <c r="BM2" t="s">
        <v>2043</v>
      </c>
      <c r="BN2" t="s">
        <v>2044</v>
      </c>
      <c r="BO2" t="s">
        <v>1987</v>
      </c>
      <c r="BQ2" t="str">
        <f>'Translate&amp;Prices&amp;Logo'!$B$551</f>
        <v>Závěsy</v>
      </c>
      <c r="BR2" t="str">
        <f>'Translate&amp;Prices&amp;Logo'!$B$552</f>
        <v>Výklopy</v>
      </c>
      <c r="BU2" t="str">
        <f>CONCATENATE("_",Ram_1!H12,"_",Ram_1!H13)</f>
        <v>__</v>
      </c>
      <c r="BV2" t="s">
        <v>2070</v>
      </c>
      <c r="BW2" t="s">
        <v>2065</v>
      </c>
      <c r="BY2" t="s">
        <v>250</v>
      </c>
      <c r="CA2" t="s">
        <v>2097</v>
      </c>
      <c r="CD2" t="s">
        <v>2173</v>
      </c>
      <c r="CF2" t="s">
        <v>2491</v>
      </c>
      <c r="CG2" t="s">
        <v>838</v>
      </c>
      <c r="CH2" t="s">
        <v>2172</v>
      </c>
      <c r="CI2" t="s">
        <v>838</v>
      </c>
      <c r="CJ2" t="s">
        <v>2172</v>
      </c>
      <c r="CK2" t="s">
        <v>838</v>
      </c>
      <c r="CL2" t="s">
        <v>2172</v>
      </c>
      <c r="CM2" t="s">
        <v>838</v>
      </c>
      <c r="CN2" t="s">
        <v>2172</v>
      </c>
      <c r="CO2" t="s">
        <v>838</v>
      </c>
      <c r="CP2" t="s">
        <v>2172</v>
      </c>
      <c r="CQ2" t="s">
        <v>838</v>
      </c>
      <c r="CR2" t="s">
        <v>2172</v>
      </c>
      <c r="CS2" t="s">
        <v>838</v>
      </c>
      <c r="CT2" t="s">
        <v>2172</v>
      </c>
      <c r="CU2" t="s">
        <v>838</v>
      </c>
      <c r="CV2" t="s">
        <v>2172</v>
      </c>
      <c r="CW2" t="s">
        <v>838</v>
      </c>
      <c r="CX2" t="s">
        <v>2172</v>
      </c>
      <c r="CY2" t="s">
        <v>838</v>
      </c>
      <c r="CZ2" t="s">
        <v>2172</v>
      </c>
      <c r="DA2" t="s">
        <v>838</v>
      </c>
      <c r="DB2" t="s">
        <v>2172</v>
      </c>
      <c r="DC2" t="s">
        <v>838</v>
      </c>
      <c r="DD2" t="s">
        <v>2172</v>
      </c>
      <c r="DE2" t="s">
        <v>838</v>
      </c>
      <c r="DF2" t="s">
        <v>2172</v>
      </c>
      <c r="DG2" t="s">
        <v>838</v>
      </c>
      <c r="DH2" t="s">
        <v>2172</v>
      </c>
      <c r="DI2" t="s">
        <v>838</v>
      </c>
      <c r="DJ2" t="s">
        <v>2172</v>
      </c>
      <c r="DK2" t="s">
        <v>838</v>
      </c>
      <c r="DL2" t="s">
        <v>2172</v>
      </c>
      <c r="DN2" t="str">
        <f>'Translate&amp;Prices&amp;Logo'!B553</f>
        <v>Naložený</v>
      </c>
      <c r="DP2" t="str">
        <f>'Translate&amp;Prices&amp;Logo'!$B$551</f>
        <v>Závěsy</v>
      </c>
      <c r="DQ2">
        <v>2</v>
      </c>
      <c r="DT2" t="s">
        <v>710</v>
      </c>
      <c r="DU2" t="s">
        <v>712</v>
      </c>
      <c r="DW2" t="s">
        <v>1393</v>
      </c>
      <c r="DX2" t="s">
        <v>1402</v>
      </c>
      <c r="ED2" t="s">
        <v>2873</v>
      </c>
      <c r="EE2" t="s">
        <v>2967</v>
      </c>
      <c r="ER2" t="s">
        <v>3417</v>
      </c>
      <c r="ES2" t="s">
        <v>3422</v>
      </c>
      <c r="EV2">
        <v>2</v>
      </c>
      <c r="EW2" t="s">
        <v>3439</v>
      </c>
      <c r="EY2" s="550" t="str">
        <f>'Translate&amp;Prices&amp;Logo'!B164</f>
        <v>síťka alu zlatá - maximální rozměr 1000 x 500 mm</v>
      </c>
      <c r="FA2" s="318" t="str">
        <f>'Translate&amp;Prices&amp;Logo'!B644</f>
        <v>520405 Cordia SALICE AIR SOFT niklový závěs s úhlem otevírání 92° sada 2ks</v>
      </c>
      <c r="FC2" t="b">
        <v>0</v>
      </c>
    </row>
    <row r="3" spans="1:164">
      <c r="A3" t="str">
        <f>'Translate&amp;Prices&amp;Logo'!B6</f>
        <v>BRW (elox.)</v>
      </c>
      <c r="B3">
        <v>1</v>
      </c>
      <c r="C3" t="s">
        <v>1215</v>
      </c>
      <c r="D3">
        <v>1</v>
      </c>
      <c r="F3" t="s">
        <v>2004</v>
      </c>
      <c r="G3" t="s">
        <v>706</v>
      </c>
      <c r="H3" t="s">
        <v>2005</v>
      </c>
      <c r="I3">
        <v>1</v>
      </c>
      <c r="J3">
        <v>2</v>
      </c>
      <c r="K3" t="s">
        <v>1215</v>
      </c>
      <c r="M3" t="s">
        <v>2006</v>
      </c>
      <c r="N3" t="s">
        <v>984</v>
      </c>
      <c r="Q3" t="s">
        <v>2055</v>
      </c>
      <c r="R3" t="s">
        <v>2056</v>
      </c>
      <c r="S3" t="s">
        <v>2057</v>
      </c>
      <c r="T3" t="s">
        <v>2058</v>
      </c>
      <c r="U3" t="s">
        <v>2059</v>
      </c>
      <c r="V3" t="s">
        <v>2060</v>
      </c>
      <c r="X3" t="str">
        <f>'Translate&amp;Prices&amp;Logo'!$B$563</f>
        <v>Transparentní</v>
      </c>
      <c r="Y3">
        <v>1</v>
      </c>
      <c r="AA3" t="s">
        <v>3323</v>
      </c>
      <c r="AB3" t="s">
        <v>2065</v>
      </c>
      <c r="AF3" t="s">
        <v>245</v>
      </c>
      <c r="AG3" t="s">
        <v>3781</v>
      </c>
      <c r="AY3" t="s">
        <v>2038</v>
      </c>
      <c r="BK3" t="s">
        <v>245</v>
      </c>
      <c r="BQ3" t="s">
        <v>2038</v>
      </c>
      <c r="BR3" t="s">
        <v>2008</v>
      </c>
      <c r="BU3" t="e">
        <f>VLOOKUP(BU2,BV:BW,2,0)</f>
        <v>#N/A</v>
      </c>
      <c r="BV3" t="s">
        <v>2073</v>
      </c>
      <c r="BW3" t="s">
        <v>2069</v>
      </c>
      <c r="BY3" t="str">
        <f>'Translate&amp;Prices&amp;Logo'!$B$230</f>
        <v>Vlevo</v>
      </c>
      <c r="BZ3">
        <v>1</v>
      </c>
      <c r="CA3">
        <v>32</v>
      </c>
      <c r="CD3" t="s">
        <v>3778</v>
      </c>
      <c r="CE3">
        <v>1</v>
      </c>
      <c r="CF3">
        <v>1</v>
      </c>
      <c r="CG3" t="s">
        <v>3778</v>
      </c>
      <c r="CH3" t="s">
        <v>3778</v>
      </c>
      <c r="CI3" t="s">
        <v>3414</v>
      </c>
      <c r="CJ3" t="s">
        <v>3414</v>
      </c>
      <c r="CK3" t="s">
        <v>2018</v>
      </c>
      <c r="CL3" t="s">
        <v>2018</v>
      </c>
      <c r="CM3" t="s">
        <v>2021</v>
      </c>
      <c r="CN3" t="s">
        <v>2021</v>
      </c>
      <c r="CO3" t="s">
        <v>2028</v>
      </c>
      <c r="CP3" t="s">
        <v>2028</v>
      </c>
      <c r="CQ3" t="s">
        <v>2182</v>
      </c>
      <c r="CR3" t="s">
        <v>2182</v>
      </c>
      <c r="CS3" t="s">
        <v>2023</v>
      </c>
      <c r="CT3" t="s">
        <v>2023</v>
      </c>
      <c r="CU3" t="s">
        <v>2029</v>
      </c>
      <c r="CV3" t="s">
        <v>2029</v>
      </c>
      <c r="CW3" t="s">
        <v>4290</v>
      </c>
      <c r="CX3" t="s">
        <v>4290</v>
      </c>
      <c r="CY3" t="s">
        <v>2032</v>
      </c>
      <c r="CZ3" t="s">
        <v>2032</v>
      </c>
      <c r="DA3" t="s">
        <v>4327</v>
      </c>
      <c r="DB3" t="s">
        <v>4327</v>
      </c>
      <c r="DC3" t="s">
        <v>2034</v>
      </c>
      <c r="DD3" t="s">
        <v>2034</v>
      </c>
      <c r="DE3" t="s">
        <v>2035</v>
      </c>
      <c r="DF3" t="s">
        <v>2035</v>
      </c>
      <c r="DG3" t="s">
        <v>4253</v>
      </c>
      <c r="DH3" t="s">
        <v>4253</v>
      </c>
      <c r="DI3" t="s">
        <v>4254</v>
      </c>
      <c r="DJ3" t="s">
        <v>4254</v>
      </c>
      <c r="DK3" t="s">
        <v>2040</v>
      </c>
      <c r="DL3" t="s">
        <v>2040</v>
      </c>
      <c r="DN3" t="e">
        <f>IF(OR(Ram_1!$H$13&amp;Ram_1!$AU$7=Ram_1!$M$44,(Ram_1!$H$13&amp;Ram_1!$AU$7=Ram_1!$M$45)),'Translate&amp;Prices&amp;Logo'!B657,'Translate&amp;Prices&amp;Logo'!B554)</f>
        <v>#N/A</v>
      </c>
      <c r="DP3" t="str">
        <f>'Translate&amp;Prices&amp;Logo'!$B$552</f>
        <v>Výklopy</v>
      </c>
      <c r="DQ3">
        <v>3</v>
      </c>
      <c r="DT3" t="s">
        <v>715</v>
      </c>
      <c r="DU3" t="s">
        <v>715</v>
      </c>
      <c r="DW3" t="s">
        <v>1615</v>
      </c>
      <c r="DX3" t="s">
        <v>2432</v>
      </c>
      <c r="ED3" t="s">
        <v>2874</v>
      </c>
      <c r="EE3" t="s">
        <v>2968</v>
      </c>
      <c r="EJ3">
        <v>1</v>
      </c>
      <c r="EK3" t="s">
        <v>363</v>
      </c>
      <c r="EN3" t="str">
        <f>'Translate&amp;Prices&amp;Logo'!B638</f>
        <v>Bez úprav</v>
      </c>
      <c r="EO3">
        <v>1</v>
      </c>
      <c r="ER3" t="s">
        <v>3415</v>
      </c>
      <c r="ES3" t="s">
        <v>3423</v>
      </c>
      <c r="EV3">
        <v>3</v>
      </c>
      <c r="EW3" t="s">
        <v>3440</v>
      </c>
      <c r="EY3" s="550" t="str">
        <f>'Translate&amp;Prices&amp;Logo'!B165</f>
        <v>síťka ocel černá mat - maximální rozměr 1000 x 500 mm</v>
      </c>
      <c r="FA3" s="318" t="str">
        <f>'Translate&amp;Prices&amp;Logo'!B645</f>
        <v>520406 Cordia SALICE AIR PUSH TO OPEN niklový závěs s adaptérem sada 2ks</v>
      </c>
      <c r="FC3" t="s">
        <v>3640</v>
      </c>
      <c r="FE3" t="str">
        <f>'Translate&amp;Prices&amp;Logo'!B164</f>
        <v>síťka alu zlatá - maximální rozměr 1000 x 500 mm</v>
      </c>
      <c r="FF3" t="str">
        <f>'Translate&amp;Prices&amp;Logo'!B165</f>
        <v>síťka ocel černá mat - maximální rozměr 1000 x 500 mm</v>
      </c>
      <c r="FG3" t="str">
        <f>'Translate&amp;Prices&amp;Logo'!B166</f>
        <v>síťka ocel bílá - maximální rozměr 1000 x 500 mm</v>
      </c>
      <c r="FH3" t="str">
        <f>'Translate&amp;Prices&amp;Logo'!B167</f>
        <v>síťka elox - maximální rozměr 1000 x 500 mm</v>
      </c>
    </row>
    <row r="4" spans="1:164">
      <c r="A4" t="str">
        <f>'Translate&amp;Prices&amp;Logo'!B8</f>
        <v>BRW bílá mat</v>
      </c>
      <c r="B4">
        <v>1</v>
      </c>
      <c r="C4" t="s">
        <v>1215</v>
      </c>
      <c r="D4">
        <v>0</v>
      </c>
      <c r="G4" t="s">
        <v>2005</v>
      </c>
      <c r="H4" t="s">
        <v>706</v>
      </c>
      <c r="I4">
        <v>0</v>
      </c>
      <c r="J4">
        <v>2</v>
      </c>
      <c r="K4" t="s">
        <v>1215</v>
      </c>
      <c r="M4" t="s">
        <v>2009</v>
      </c>
      <c r="N4" t="s">
        <v>1607</v>
      </c>
      <c r="Q4" t="str">
        <f>'Translate&amp;Prices&amp;Logo'!$B$99</f>
        <v>Čiré - maximální rozměr 2550 x 1605 mm</v>
      </c>
      <c r="R4" t="str">
        <f>'Translate&amp;Prices&amp;Logo'!$B$115</f>
        <v>Zrcadlo - maximální rozměr 2550 x 1605 mm</v>
      </c>
      <c r="S4" t="str">
        <f>'Translate&amp;Prices&amp;Logo'!$B$99</f>
        <v>Čiré - maximální rozměr 2550 x 1605 mm</v>
      </c>
      <c r="T4" t="str">
        <f>'Translate&amp;Prices&amp;Logo'!$B$627</f>
        <v>Neplatná kombinace</v>
      </c>
      <c r="U4" t="str">
        <f>'Translate&amp;Prices&amp;Logo'!$B$115</f>
        <v>Zrcadlo - maximální rozměr 2550 x 1605 mm</v>
      </c>
      <c r="V4" t="str">
        <f>'Translate&amp;Prices&amp;Logo'!$B$115</f>
        <v>Zrcadlo - maximální rozměr 2550 x 1605 mm</v>
      </c>
      <c r="X4" t="str">
        <f>'Translate&amp;Prices&amp;Logo'!$B$564</f>
        <v>Bílá</v>
      </c>
      <c r="Y4">
        <v>2</v>
      </c>
      <c r="AA4" t="s">
        <v>2008</v>
      </c>
      <c r="AB4" t="s">
        <v>3778</v>
      </c>
      <c r="AC4">
        <v>1</v>
      </c>
      <c r="AD4">
        <v>1</v>
      </c>
      <c r="AF4" t="s">
        <v>246</v>
      </c>
      <c r="AG4" t="s">
        <v>3781</v>
      </c>
      <c r="AY4" t="s">
        <v>2038</v>
      </c>
      <c r="AZ4" t="s">
        <v>2075</v>
      </c>
      <c r="BK4" t="s">
        <v>246</v>
      </c>
      <c r="BQ4" t="s">
        <v>2008</v>
      </c>
      <c r="BR4" t="s">
        <v>2030</v>
      </c>
      <c r="BV4" t="s">
        <v>2074</v>
      </c>
      <c r="BW4" t="s">
        <v>2068</v>
      </c>
      <c r="BY4" t="str">
        <f>'Translate&amp;Prices&amp;Logo'!$B$229</f>
        <v xml:space="preserve">Vpravo </v>
      </c>
      <c r="BZ4">
        <v>2</v>
      </c>
      <c r="CA4">
        <v>64</v>
      </c>
      <c r="CD4" t="s">
        <v>3414</v>
      </c>
      <c r="CE4">
        <v>1</v>
      </c>
      <c r="CF4">
        <v>0</v>
      </c>
      <c r="CG4" t="str">
        <f>CONCATENATE("_",CG2,"_",CG3)</f>
        <v>_Úzký_Aventos_HF_TOP</v>
      </c>
      <c r="CH4" t="str">
        <f t="shared" ref="CH4:DL4" si="0">CONCATENATE("_",CH2,"_",CH3)</f>
        <v>_široký_Aventos_HF_TOP</v>
      </c>
      <c r="CI4" t="str">
        <f t="shared" si="0"/>
        <v>_Úzký_Aventos_HK_XS</v>
      </c>
      <c r="CJ4" t="str">
        <f t="shared" si="0"/>
        <v>_široký_Aventos_HK_XS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_Úzký_Stronglift_horní</v>
      </c>
      <c r="DH4" t="str">
        <f t="shared" si="0"/>
        <v>_široký_Stronglift_horní</v>
      </c>
      <c r="DI4" t="str">
        <f t="shared" si="0"/>
        <v>_Úzký_Stronglift_spodní</v>
      </c>
      <c r="DJ4" t="str">
        <f t="shared" si="0"/>
        <v>_široký_Stronglift_spodní</v>
      </c>
      <c r="DK4" t="str">
        <f t="shared" si="0"/>
        <v>_Úzký_LiftMini</v>
      </c>
      <c r="DL4" t="str">
        <f t="shared" si="0"/>
        <v>_široký_LiftMini</v>
      </c>
      <c r="DN4" t="e">
        <f>IF(OR(Ram_1!$H$13&amp;Ram_1!$AU$7=Ram_1!$M$44,(Ram_1!$H$13&amp;Ram_1!$AU$7=Ram_1!$M$45)),'Translate&amp;Prices&amp;Logo'!B657,'Translate&amp;Prices&amp;Logo'!B555)</f>
        <v>#N/A</v>
      </c>
      <c r="DT4" t="s">
        <v>1424</v>
      </c>
      <c r="DU4" t="s">
        <v>1656</v>
      </c>
      <c r="DW4" t="s">
        <v>1619</v>
      </c>
      <c r="DX4" t="s">
        <v>2433</v>
      </c>
      <c r="ED4" t="s">
        <v>2875</v>
      </c>
      <c r="EE4" t="s">
        <v>2969</v>
      </c>
      <c r="EJ4">
        <v>2</v>
      </c>
      <c r="EK4" t="s">
        <v>364</v>
      </c>
      <c r="EN4" t="str">
        <f>'Translate&amp;Prices&amp;Logo'!B639</f>
        <v>Kalené (termín dodání 3 týdny)</v>
      </c>
      <c r="EO4">
        <v>2</v>
      </c>
      <c r="ER4" t="s">
        <v>4195</v>
      </c>
      <c r="ES4" t="s">
        <v>4196</v>
      </c>
      <c r="EV4">
        <v>4</v>
      </c>
      <c r="EW4" t="s">
        <v>3441</v>
      </c>
      <c r="EY4" s="550" t="str">
        <f>'Translate&amp;Prices&amp;Logo'!B166</f>
        <v>síťka ocel bílá - maximální rozměr 1000 x 500 mm</v>
      </c>
      <c r="FA4" s="318" t="str">
        <f>'Translate&amp;Prices&amp;Logo'!B646</f>
        <v>520407 Cordia SALICE AIR PUSH TO OPEN niklový závěs s adaptérem sada 2ks</v>
      </c>
      <c r="FC4" t="str">
        <f>'Translate&amp;Prices&amp;Logo'!B6</f>
        <v>BRW (elox.)</v>
      </c>
      <c r="FD4" s="572"/>
      <c r="FF4" t="str">
        <f>'Translate&amp;Prices&amp;Logo'!B164</f>
        <v>síťka alu zlatá - maximální rozměr 1000 x 500 mm</v>
      </c>
    </row>
    <row r="5" spans="1:164">
      <c r="A5" t="str">
        <f>'Translate&amp;Prices&amp;Logo'!B9</f>
        <v>BRW bílá lesk</v>
      </c>
      <c r="B5">
        <v>1</v>
      </c>
      <c r="C5" t="s">
        <v>1215</v>
      </c>
      <c r="D5">
        <v>0</v>
      </c>
      <c r="F5" t="s">
        <v>2011</v>
      </c>
      <c r="G5" t="s">
        <v>705</v>
      </c>
      <c r="H5" t="s">
        <v>2005</v>
      </c>
      <c r="I5">
        <v>1</v>
      </c>
      <c r="J5">
        <v>2</v>
      </c>
      <c r="K5" t="s">
        <v>1215</v>
      </c>
      <c r="M5" t="s">
        <v>2012</v>
      </c>
      <c r="N5" t="s">
        <v>1004</v>
      </c>
      <c r="Q5" t="str">
        <f>'Translate&amp;Prices&amp;Logo'!$B$161</f>
        <v>Optiwhite - maximální rozměr 2550 x 1605 mm</v>
      </c>
      <c r="R5" t="str">
        <f>'Translate&amp;Prices&amp;Logo'!$B$116</f>
        <v>Zrcadlo hnědé - maximální rozměr 2250 x 1605 mm</v>
      </c>
      <c r="S5" t="str">
        <f>'Translate&amp;Prices&amp;Logo'!$B$161</f>
        <v>Optiwhite - maximální rozměr 2550 x 1605 mm</v>
      </c>
      <c r="U5" t="str">
        <f>'Translate&amp;Prices&amp;Logo'!$B$116</f>
        <v>Zrcadlo hnědé - maximální rozměr 2250 x 1605 mm</v>
      </c>
      <c r="V5" t="str">
        <f>'Translate&amp;Prices&amp;Logo'!$B$116</f>
        <v>Zrcadlo hnědé - maximální rozměr 2250 x 1605 mm</v>
      </c>
      <c r="X5" t="str">
        <f>'Translate&amp;Prices&amp;Logo'!$B$565</f>
        <v>Černá</v>
      </c>
      <c r="Y5">
        <v>3</v>
      </c>
      <c r="AA5" t="s">
        <v>2008</v>
      </c>
      <c r="AB5" t="s">
        <v>3782</v>
      </c>
      <c r="AC5">
        <v>0</v>
      </c>
      <c r="AD5">
        <v>0</v>
      </c>
      <c r="AF5" t="s">
        <v>245</v>
      </c>
      <c r="AG5" t="s">
        <v>3783</v>
      </c>
      <c r="AY5" t="s">
        <v>2038</v>
      </c>
      <c r="AZ5" t="s">
        <v>2076</v>
      </c>
      <c r="BK5" t="s">
        <v>2015</v>
      </c>
      <c r="BQ5" t="s">
        <v>4186</v>
      </c>
      <c r="BR5" t="s">
        <v>4249</v>
      </c>
      <c r="BV5" t="s">
        <v>4247</v>
      </c>
      <c r="BW5" t="s">
        <v>4248</v>
      </c>
      <c r="BY5" t="str">
        <f>'Translate&amp;Prices&amp;Logo'!$B$227</f>
        <v>Nahoře</v>
      </c>
      <c r="BZ5">
        <v>3</v>
      </c>
      <c r="CA5">
        <v>76</v>
      </c>
      <c r="CD5" t="s">
        <v>2018</v>
      </c>
      <c r="CE5">
        <v>1</v>
      </c>
      <c r="CF5">
        <v>0</v>
      </c>
      <c r="CG5" t="str">
        <f>CONCATENATE('Translate&amp;Prices&amp;Logo'!B661," 13764")</f>
        <v>korpusový závěs 13764</v>
      </c>
      <c r="CH5" t="str">
        <f>CONCATENATE('Translate&amp;Prices&amp;Logo'!B661," 12023")</f>
        <v>korpusový závěs 12023</v>
      </c>
      <c r="CI5" t="str">
        <f>CONCATENATE('Translate&amp;Prices&amp;Logo'!B661," 118033")</f>
        <v>korpusový závěs 118033</v>
      </c>
      <c r="CJ5" t="str">
        <f>CONCATENATE('Translate&amp;Prices&amp;Logo'!B661," 12047")</f>
        <v>korpusový závěs 12047</v>
      </c>
      <c r="CK5" t="s">
        <v>4263</v>
      </c>
      <c r="CL5" t="s">
        <v>4264</v>
      </c>
      <c r="CM5" t="s">
        <v>4263</v>
      </c>
      <c r="CN5" t="s">
        <v>4264</v>
      </c>
      <c r="CO5" t="s">
        <v>4263</v>
      </c>
      <c r="CP5" t="s">
        <v>4264</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4263</v>
      </c>
      <c r="CV5" t="s">
        <v>4264</v>
      </c>
      <c r="CW5" t="s">
        <v>2142</v>
      </c>
      <c r="CX5" t="s">
        <v>2156</v>
      </c>
      <c r="CY5" t="s">
        <v>4263</v>
      </c>
      <c r="CZ5" t="s">
        <v>4264</v>
      </c>
      <c r="DA5" t="s">
        <v>2142</v>
      </c>
      <c r="DB5" t="s">
        <v>2156</v>
      </c>
      <c r="DC5" t="str">
        <f>CONCATENATE("hettich ",'Translate&amp;Prices&amp;Logo'!B664," 300282")</f>
        <v>hettich spodní 300282</v>
      </c>
      <c r="DD5" t="s">
        <v>2156</v>
      </c>
      <c r="DE5" t="str">
        <f>CONCATENATE("hettich ",'Translate&amp;Prices&amp;Logo'!B664," 300282")</f>
        <v>hettich spodní 300282</v>
      </c>
      <c r="DF5" t="s">
        <v>2156</v>
      </c>
      <c r="DG5" t="s">
        <v>4263</v>
      </c>
      <c r="DH5" t="s">
        <v>4264</v>
      </c>
      <c r="DI5" t="s">
        <v>4263</v>
      </c>
      <c r="DJ5" t="s">
        <v>4264</v>
      </c>
      <c r="DK5" t="str">
        <f>CONCATENATE("hettich ",'Translate&amp;Prices&amp;Logo'!B664," 300282")</f>
        <v>hettich spodní 300282</v>
      </c>
      <c r="DL5" t="s">
        <v>2156</v>
      </c>
      <c r="DT5" t="s">
        <v>1425</v>
      </c>
      <c r="DU5" t="s">
        <v>1425</v>
      </c>
      <c r="DW5" t="s">
        <v>1403</v>
      </c>
      <c r="DX5" t="s">
        <v>1394</v>
      </c>
      <c r="ED5" t="s">
        <v>2876</v>
      </c>
      <c r="EE5" t="s">
        <v>2970</v>
      </c>
      <c r="EJ5">
        <v>3</v>
      </c>
      <c r="EK5" t="s">
        <v>135</v>
      </c>
      <c r="EN5" t="str">
        <f>'Translate&amp;Prices&amp;Logo'!B640</f>
        <v>Folie</v>
      </c>
      <c r="EO5">
        <v>3</v>
      </c>
      <c r="ER5" t="s">
        <v>4197</v>
      </c>
      <c r="ES5" t="s">
        <v>4198</v>
      </c>
      <c r="EV5">
        <v>5</v>
      </c>
      <c r="EW5" t="s">
        <v>3439</v>
      </c>
      <c r="EY5" s="550" t="str">
        <f>'Translate&amp;Prices&amp;Logo'!B167</f>
        <v>síťka elox - maximální rozměr 1000 x 500 mm</v>
      </c>
      <c r="FA5" s="318" t="str">
        <f>'Translate&amp;Prices&amp;Logo'!B647</f>
        <v>520408 Cordia SALICE AIR SOFT niklový závěs s adaptérem sada 2ks</v>
      </c>
      <c r="FC5" t="str">
        <f>'Translate&amp;Prices&amp;Logo'!B8</f>
        <v>BRW bílá mat</v>
      </c>
      <c r="FD5" s="572"/>
    </row>
    <row r="6" spans="1:164">
      <c r="A6" t="str">
        <f>'Translate&amp;Prices&amp;Logo'!B11</f>
        <v>BRW broušené</v>
      </c>
      <c r="B6">
        <v>1</v>
      </c>
      <c r="C6" t="s">
        <v>1215</v>
      </c>
      <c r="D6">
        <v>0</v>
      </c>
      <c r="G6" t="s">
        <v>2005</v>
      </c>
      <c r="H6" t="s">
        <v>705</v>
      </c>
      <c r="I6">
        <v>0</v>
      </c>
      <c r="J6">
        <v>2</v>
      </c>
      <c r="K6" t="s">
        <v>1215</v>
      </c>
      <c r="N6" t="s">
        <v>1583</v>
      </c>
      <c r="Q6" t="str">
        <f>'Translate&amp;Prices&amp;Logo'!$B$104</f>
        <v>Satinato - maximální rozměr 2550 x 1605 mm</v>
      </c>
      <c r="R6" t="str">
        <f>'Translate&amp;Prices&amp;Logo'!$B$117</f>
        <v>Zrcadlo grafit - maximální rozměr 2550 x 1605 mm</v>
      </c>
      <c r="S6" t="str">
        <f>'Translate&amp;Prices&amp;Logo'!$B$105</f>
        <v>MASTER SOFT - maximální rozměr 2000 x 1605 mm</v>
      </c>
      <c r="U6" t="str">
        <f>'Translate&amp;Prices&amp;Logo'!$B$117</f>
        <v>Zrcadlo grafit - maximální rozměr 2550 x 1605 mm</v>
      </c>
      <c r="V6" t="str">
        <f>'Translate&amp;Prices&amp;Logo'!$B$117</f>
        <v>Zrcadlo grafit - maximální rozměr 2550 x 1605 mm</v>
      </c>
      <c r="AA6" t="s">
        <v>2008</v>
      </c>
      <c r="AB6" t="s">
        <v>3784</v>
      </c>
      <c r="AC6">
        <v>0</v>
      </c>
      <c r="AD6">
        <v>0</v>
      </c>
      <c r="AF6" t="s">
        <v>246</v>
      </c>
      <c r="AG6" t="s">
        <v>3783</v>
      </c>
      <c r="AY6" t="s">
        <v>2038</v>
      </c>
      <c r="AZ6" t="s">
        <v>2077</v>
      </c>
      <c r="BK6" t="s">
        <v>2016</v>
      </c>
      <c r="BQ6" s="318" t="s">
        <v>4192</v>
      </c>
      <c r="BR6" t="s">
        <v>2020</v>
      </c>
      <c r="BV6" t="s">
        <v>2072</v>
      </c>
      <c r="BW6" t="s">
        <v>2067</v>
      </c>
      <c r="BY6" t="str">
        <f>'Translate&amp;Prices&amp;Logo'!$B$228</f>
        <v>Dole</v>
      </c>
      <c r="BZ6">
        <v>4</v>
      </c>
      <c r="CA6">
        <v>96</v>
      </c>
      <c r="CD6" t="s">
        <v>2021</v>
      </c>
      <c r="CE6">
        <v>1</v>
      </c>
      <c r="CF6">
        <v>1</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2144</v>
      </c>
      <c r="CX6" t="s">
        <v>2150</v>
      </c>
      <c r="CY6" t="str">
        <f>CONCATENATE("hettich ",'Translate&amp;Prices&amp;Logo'!B662," 300279")</f>
        <v>hettich tlumený 300279</v>
      </c>
      <c r="CZ6" t="str">
        <f>CONCATENATE("hettich ",'Translate&amp;Prices&amp;Logo'!B662," 104717")</f>
        <v>hettich tlumený 104717</v>
      </c>
      <c r="DA6" t="s">
        <v>2144</v>
      </c>
      <c r="DB6" t="s">
        <v>2150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2500</v>
      </c>
      <c r="DH6" t="s">
        <v>2505</v>
      </c>
      <c r="DI6" t="s">
        <v>2500</v>
      </c>
      <c r="DJ6" t="s">
        <v>2505</v>
      </c>
      <c r="DK6" t="str">
        <f>CONCATENATE("blum ",'Translate&amp;Prices&amp;Logo'!B664," 12106")</f>
        <v>blum spodní 12106</v>
      </c>
      <c r="DL6" t="str">
        <f>CONCATENATE("hettich ",'Translate&amp;Prices&amp;Logo'!B664," 232346")</f>
        <v>hettich spodní 232346</v>
      </c>
      <c r="DT6" t="s">
        <v>1426</v>
      </c>
      <c r="DU6" t="s">
        <v>1426</v>
      </c>
      <c r="DW6" t="s">
        <v>985</v>
      </c>
      <c r="DX6" t="s">
        <v>2434</v>
      </c>
      <c r="ED6" t="s">
        <v>2877</v>
      </c>
      <c r="EE6" t="s">
        <v>2971</v>
      </c>
      <c r="EJ6">
        <v>4</v>
      </c>
      <c r="EK6" t="s">
        <v>136</v>
      </c>
      <c r="ER6" t="s">
        <v>4199</v>
      </c>
      <c r="ES6" t="s">
        <v>4200</v>
      </c>
      <c r="FA6" s="318" t="str">
        <f>'Translate&amp;Prices&amp;Logo'!B648</f>
        <v>520410 Cordia SALICE AIR SOFT TITANIUM závěs s úhlem otevírání 92' sada 2ks</v>
      </c>
      <c r="FC6" t="str">
        <f>'Translate&amp;Prices&amp;Logo'!B9</f>
        <v>BRW bílá lesk</v>
      </c>
    </row>
    <row r="7" spans="1:164">
      <c r="A7" t="str">
        <f>'Translate&amp;Prices&amp;Logo'!B12</f>
        <v>BRW černá mat</v>
      </c>
      <c r="B7">
        <v>1</v>
      </c>
      <c r="C7" t="s">
        <v>1215</v>
      </c>
      <c r="D7">
        <v>1</v>
      </c>
      <c r="F7" t="s">
        <v>2017</v>
      </c>
      <c r="G7" t="s">
        <v>707</v>
      </c>
      <c r="H7" t="s">
        <v>2005</v>
      </c>
      <c r="I7">
        <v>1</v>
      </c>
      <c r="J7">
        <v>2</v>
      </c>
      <c r="K7" t="s">
        <v>1215</v>
      </c>
      <c r="Q7" t="str">
        <f>'Translate&amp;Prices&amp;Logo'!$B$106</f>
        <v>Satinato hnědé / Decormat Braz - maximální rozměr 2250 x 1605 mm</v>
      </c>
      <c r="R7" t="str">
        <f>'Translate&amp;Prices&amp;Logo'!$B$122</f>
        <v>Master  Ligne - maximální rozměr 2000 x 1605 mm</v>
      </c>
      <c r="S7" t="str">
        <f>'Translate&amp;Prices&amp;Logo'!$B$112</f>
        <v>MASTER FLEX - maximální rozměr 2000 x 1605 mm</v>
      </c>
      <c r="U7" t="str">
        <f>'Translate&amp;Prices&amp;Logo'!$B$126</f>
        <v>Lacobel RAL 1013 - maximální rozměr 2550 x 1605 mm</v>
      </c>
      <c r="V7" t="str">
        <f>'Translate&amp;Prices&amp;Logo'!$B$126</f>
        <v>Lacobel RAL 1013 - maximální rozměr 2550 x 1605 mm</v>
      </c>
      <c r="AA7" t="s">
        <v>2008</v>
      </c>
      <c r="AB7" t="s">
        <v>3414</v>
      </c>
      <c r="AC7">
        <v>1</v>
      </c>
      <c r="AD7">
        <v>0</v>
      </c>
      <c r="AF7" t="s">
        <v>245</v>
      </c>
      <c r="AG7" t="s">
        <v>2018</v>
      </c>
      <c r="AY7" t="s">
        <v>2038</v>
      </c>
      <c r="AZ7" t="s">
        <v>2078</v>
      </c>
      <c r="BK7" t="s">
        <v>2019</v>
      </c>
      <c r="BQ7" s="118"/>
      <c r="BR7" t="s">
        <v>2038</v>
      </c>
      <c r="BV7" t="s">
        <v>2090</v>
      </c>
      <c r="BW7" t="s">
        <v>2093</v>
      </c>
      <c r="CA7">
        <v>128</v>
      </c>
      <c r="CD7" t="s">
        <v>2023</v>
      </c>
      <c r="CE7">
        <v>1</v>
      </c>
      <c r="CF7">
        <v>0</v>
      </c>
      <c r="CK7" t="s">
        <v>2123</v>
      </c>
      <c r="CL7" t="s">
        <v>2133</v>
      </c>
      <c r="CM7" t="s">
        <v>2123</v>
      </c>
      <c r="CN7" t="s">
        <v>2133</v>
      </c>
      <c r="CO7" t="s">
        <v>2123</v>
      </c>
      <c r="CP7" t="s">
        <v>2133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2123</v>
      </c>
      <c r="CV7" t="s">
        <v>2133</v>
      </c>
      <c r="CW7" t="s">
        <v>2147</v>
      </c>
      <c r="CX7" t="s">
        <v>2152</v>
      </c>
      <c r="CY7" t="s">
        <v>2123</v>
      </c>
      <c r="CZ7" t="s">
        <v>2133</v>
      </c>
      <c r="DA7" t="s">
        <v>2147</v>
      </c>
      <c r="DB7" t="s">
        <v>2152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2123</v>
      </c>
      <c r="DH7" t="s">
        <v>2133</v>
      </c>
      <c r="DI7" t="s">
        <v>2123</v>
      </c>
      <c r="DJ7" t="s">
        <v>2133</v>
      </c>
      <c r="DK7" t="str">
        <f>CONCATENATE("strong ",'Translate&amp;Prices&amp;Logo'!B664," 350863")</f>
        <v>strong spodní 350863</v>
      </c>
      <c r="DL7" t="str">
        <f>CONCATENATE("blum ",'Translate&amp;Prices&amp;Logo'!B664," 12052")</f>
        <v>blum spodní 12052</v>
      </c>
      <c r="DN7" s="12" t="s">
        <v>125</v>
      </c>
      <c r="DO7" s="12" t="s">
        <v>125</v>
      </c>
      <c r="DT7" t="s">
        <v>1427</v>
      </c>
      <c r="DU7" t="s">
        <v>1427</v>
      </c>
      <c r="DW7" t="s">
        <v>1607</v>
      </c>
      <c r="DX7" t="s">
        <v>2435</v>
      </c>
      <c r="ED7" t="s">
        <v>2878</v>
      </c>
      <c r="EE7" t="s">
        <v>2972</v>
      </c>
      <c r="EJ7">
        <v>5</v>
      </c>
      <c r="EK7" t="s">
        <v>3311</v>
      </c>
      <c r="ER7" t="s">
        <v>4201</v>
      </c>
      <c r="ES7" t="s">
        <v>4202</v>
      </c>
      <c r="FA7" s="318" t="str">
        <f>'Translate&amp;Prices&amp;Logo'!B649</f>
        <v>520411 Cordia SALICE AIR TITANIUM PUSH TO OPEN závěs sada 2ks</v>
      </c>
      <c r="FC7" t="str">
        <f>'Translate&amp;Prices&amp;Logo'!B12</f>
        <v>BRW černá mat</v>
      </c>
      <c r="FD7" s="572"/>
    </row>
    <row r="8" spans="1:164">
      <c r="A8" t="str">
        <f>'Translate&amp;Prices&amp;Logo'!B14</f>
        <v>BRW černá broušená</v>
      </c>
      <c r="B8">
        <v>1</v>
      </c>
      <c r="C8" t="s">
        <v>1215</v>
      </c>
      <c r="D8">
        <v>0</v>
      </c>
      <c r="G8" t="s">
        <v>2005</v>
      </c>
      <c r="H8" t="s">
        <v>707</v>
      </c>
      <c r="I8">
        <v>0</v>
      </c>
      <c r="J8">
        <v>2</v>
      </c>
      <c r="K8" t="s">
        <v>1215</v>
      </c>
      <c r="Q8" t="str">
        <f>'Translate&amp;Prices&amp;Logo'!$B$107</f>
        <v>Satinato grafit / Decormat grafit - maximální rozměr 2250 x 1605 mm</v>
      </c>
      <c r="R8" t="str">
        <f>'Translate&amp;Prices&amp;Logo'!$B$123</f>
        <v>Master  Point - maximální rozměr 2000 x 1605 mm</v>
      </c>
      <c r="S8" t="str">
        <f>'Translate&amp;Prices&amp;Logo'!$B$118</f>
        <v>VISIOSUN - maximální rozměr 3210 x 2000 mm</v>
      </c>
      <c r="U8" t="str">
        <f>'Translate&amp;Prices&amp;Logo'!$B$127</f>
        <v>Lacobel RAL 1014 - maximální rozměr 2550 x 1605 mm</v>
      </c>
      <c r="V8" t="str">
        <f>'Translate&amp;Prices&amp;Logo'!$B$127</f>
        <v>Lacobel RAL 1014 - maximální rozměr 2550 x 1605 mm</v>
      </c>
      <c r="AA8" t="s">
        <v>2008</v>
      </c>
      <c r="AB8" t="s">
        <v>3779</v>
      </c>
      <c r="AC8">
        <v>0</v>
      </c>
      <c r="AD8">
        <v>0</v>
      </c>
      <c r="AF8" t="s">
        <v>246</v>
      </c>
      <c r="AG8" t="s">
        <v>2018</v>
      </c>
      <c r="AY8" t="s">
        <v>2038</v>
      </c>
      <c r="AZ8" t="s">
        <v>2079</v>
      </c>
      <c r="BV8" t="s">
        <v>2091</v>
      </c>
      <c r="BW8" t="s">
        <v>2094</v>
      </c>
      <c r="BY8">
        <v>2</v>
      </c>
      <c r="CA8">
        <v>160</v>
      </c>
      <c r="CD8" t="s">
        <v>2182</v>
      </c>
      <c r="CE8">
        <v>1</v>
      </c>
      <c r="CF8">
        <v>0</v>
      </c>
      <c r="CK8" t="s">
        <v>2126</v>
      </c>
      <c r="CL8" t="str">
        <f>CONCATENATE("blum ",'Translate&amp;Prices&amp;Logo'!B662," 12047")</f>
        <v>blum tlumený 12047</v>
      </c>
      <c r="CM8" t="s">
        <v>2126</v>
      </c>
      <c r="CN8" t="str">
        <f>CONCATENATE("blum ",'Translate&amp;Prices&amp;Logo'!B662," 12047")</f>
        <v>blum tlumený 12047</v>
      </c>
      <c r="CO8" t="s">
        <v>2126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2126</v>
      </c>
      <c r="CV8" t="str">
        <f>CONCATENATE("blum ",'Translate&amp;Prices&amp;Logo'!B662," 12047")</f>
        <v>blum tlumený 12047</v>
      </c>
      <c r="CX8" t="s">
        <v>2154</v>
      </c>
      <c r="CY8" t="s">
        <v>2126</v>
      </c>
      <c r="CZ8" t="str">
        <f>CONCATENATE("blum ",'Translate&amp;Prices&amp;Logo'!B662," 12047")</f>
        <v>blum tlumený 12047</v>
      </c>
      <c r="DB8" t="s">
        <v>2154</v>
      </c>
      <c r="DD8" t="str">
        <f>CONCATENATE("strong ",'Translate&amp;Prices&amp;Logo'!B664," 350834")</f>
        <v>strong spodní 350834</v>
      </c>
      <c r="DF8" t="str">
        <f>CONCATENATE("strong ",'Translate&amp;Prices&amp;Logo'!B664," 350834")</f>
        <v>strong spodní 350834</v>
      </c>
      <c r="DG8" t="s">
        <v>2126</v>
      </c>
      <c r="DH8" t="s">
        <v>2506</v>
      </c>
      <c r="DI8" t="s">
        <v>2126</v>
      </c>
      <c r="DJ8" t="s">
        <v>2506</v>
      </c>
      <c r="DL8" t="str">
        <f>CONCATENATE("strong ",'Translate&amp;Prices&amp;Logo'!B664," 350834")</f>
        <v>strong spodní 350834</v>
      </c>
      <c r="DN8" s="12" t="s">
        <v>126</v>
      </c>
      <c r="DO8" s="12" t="s">
        <v>126</v>
      </c>
      <c r="DT8" t="s">
        <v>1428</v>
      </c>
      <c r="DU8" t="s">
        <v>1657</v>
      </c>
      <c r="DW8" t="s">
        <v>2808</v>
      </c>
      <c r="DX8" t="s">
        <v>2809</v>
      </c>
      <c r="ED8" t="s">
        <v>2879</v>
      </c>
      <c r="EE8" t="s">
        <v>2973</v>
      </c>
      <c r="ER8" t="s">
        <v>4203</v>
      </c>
      <c r="ES8" t="s">
        <v>4204</v>
      </c>
      <c r="FA8" s="318" t="str">
        <f>'Translate&amp;Prices&amp;Logo'!B650</f>
        <v>520412 Cordia SALICE AIR TITANIUM PUSH TO OPEN závěs s adaptérem sada 2ks</v>
      </c>
      <c r="FC8" t="str">
        <f>'Translate&amp;Prices&amp;Logo'!B13</f>
        <v>BRW zlatá</v>
      </c>
    </row>
    <row r="9" spans="1:164">
      <c r="A9" t="str">
        <f>'Translate&amp;Prices&amp;Logo'!B15</f>
        <v>BRW světlá nerez (ACIER GRATA)</v>
      </c>
      <c r="B9">
        <v>1</v>
      </c>
      <c r="C9" t="s">
        <v>1215</v>
      </c>
      <c r="D9">
        <v>0</v>
      </c>
      <c r="M9" t="s">
        <v>3790</v>
      </c>
      <c r="Q9" t="str">
        <f>'Translate&amp;Prices&amp;Logo'!$B$108</f>
        <v>Screen - maximální rozměr 2540 x 1850 mm</v>
      </c>
      <c r="R9" t="str">
        <f>'Translate&amp;Prices&amp;Logo'!$B$125</f>
        <v>Master  Shine - maximální rozměr 2000 x 1605 mm</v>
      </c>
      <c r="S9" t="str">
        <f>'Translate&amp;Prices&amp;Logo'!$B$124</f>
        <v>FLUTES - maximální rozměr 2540 x 1610 mm</v>
      </c>
      <c r="U9" t="str">
        <f>'Translate&amp;Prices&amp;Logo'!$B$128</f>
        <v>Lacobel RAL 1015 - maximální rozměr 2550 x 1605 mm</v>
      </c>
      <c r="V9" t="str">
        <f>'Translate&amp;Prices&amp;Logo'!$B$128</f>
        <v>Lacobel RAL 1015 - maximální rozměr 2550 x 1605 mm</v>
      </c>
      <c r="AA9" t="s">
        <v>2008</v>
      </c>
      <c r="AB9" t="s">
        <v>3780</v>
      </c>
      <c r="AC9">
        <v>0</v>
      </c>
      <c r="AD9">
        <v>0</v>
      </c>
      <c r="AF9" t="s">
        <v>245</v>
      </c>
      <c r="AG9" t="s">
        <v>2021</v>
      </c>
      <c r="AY9" t="s">
        <v>2008</v>
      </c>
      <c r="BV9" t="s">
        <v>4193</v>
      </c>
      <c r="BW9" t="s">
        <v>4194</v>
      </c>
      <c r="BY9">
        <v>3</v>
      </c>
      <c r="CA9">
        <v>192</v>
      </c>
      <c r="CD9" t="s">
        <v>2028</v>
      </c>
      <c r="CE9">
        <v>1</v>
      </c>
      <c r="CF9">
        <v>0</v>
      </c>
      <c r="CK9" t="str">
        <f>CONCATENATE("strong ",'Translate&amp;Prices&amp;Logo'!B662," 350863")</f>
        <v>strong tlumený 350863</v>
      </c>
      <c r="CL9" t="s">
        <v>2135</v>
      </c>
      <c r="CM9" t="str">
        <f>CONCATENATE("strong ",'Translate&amp;Prices&amp;Logo'!B662," 350863")</f>
        <v>strong tlumený 350863</v>
      </c>
      <c r="CN9" t="s">
        <v>2135</v>
      </c>
      <c r="CO9" t="str">
        <f>CONCATENATE("strong ",'Translate&amp;Prices&amp;Logo'!B662," 350863")</f>
        <v>strong tlumený 350863</v>
      </c>
      <c r="CP9" t="s">
        <v>2135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2135</v>
      </c>
      <c r="CY9" t="str">
        <f>CONCATENATE("strong ",'Translate&amp;Prices&amp;Logo'!B662," 350863")</f>
        <v>strong tlumený 350863</v>
      </c>
      <c r="CZ9" t="s">
        <v>2135</v>
      </c>
      <c r="DG9" t="s">
        <v>2503</v>
      </c>
      <c r="DH9" t="s">
        <v>2135</v>
      </c>
      <c r="DI9" t="s">
        <v>2503</v>
      </c>
      <c r="DJ9" t="s">
        <v>2135</v>
      </c>
      <c r="DN9" s="12" t="s">
        <v>127</v>
      </c>
      <c r="DO9" s="12" t="s">
        <v>127</v>
      </c>
      <c r="DT9" t="s">
        <v>716</v>
      </c>
      <c r="DU9" t="s">
        <v>716</v>
      </c>
      <c r="DW9" t="s">
        <v>989</v>
      </c>
      <c r="DX9" t="s">
        <v>991</v>
      </c>
      <c r="ED9" t="s">
        <v>2880</v>
      </c>
      <c r="EE9" t="s">
        <v>2974</v>
      </c>
      <c r="ER9" t="s">
        <v>4205</v>
      </c>
      <c r="ES9" t="s">
        <v>4206</v>
      </c>
      <c r="FA9" t="str">
        <f>'Translate&amp;Prices&amp;Logo'!B651</f>
        <v>520413 Cordia SALICE AIR SOFT TITANIUM závěs s adaptérem sada 2ks</v>
      </c>
      <c r="FC9" t="str">
        <f>'Translate&amp;Prices&amp;Logo'!B47</f>
        <v>Vivaro (elox.)</v>
      </c>
    </row>
    <row r="10" spans="1:164">
      <c r="A10" t="str">
        <f>'Translate&amp;Prices&amp;Logo'!B69</f>
        <v>BRW champagne</v>
      </c>
      <c r="B10">
        <v>1</v>
      </c>
      <c r="C10" t="s">
        <v>1215</v>
      </c>
      <c r="D10">
        <v>0</v>
      </c>
      <c r="M10" t="str">
        <f>'Translate&amp;Prices&amp;Logo'!B558</f>
        <v>Horizontálně</v>
      </c>
      <c r="N10">
        <f>IF(Ram_1!$H$9=kombinace_1!M10,1,0)</f>
        <v>0</v>
      </c>
      <c r="Q10" t="str">
        <f>'Translate&amp;Prices&amp;Logo'!$B$109</f>
        <v>Venus VG10 - maximální rozměr 3210 x 2250 mm</v>
      </c>
      <c r="R10" t="str">
        <f>'Translate&amp;Prices&amp;Logo'!$B$126</f>
        <v>Lacobel RAL 1013 - maximální rozměr 2550 x 1605 mm</v>
      </c>
      <c r="S10" t="str">
        <f>'Translate&amp;Prices&amp;Logo'!$B$104</f>
        <v>Satinato - maximální rozměr 2550 x 1605 mm</v>
      </c>
      <c r="U10" t="str">
        <f>'Translate&amp;Prices&amp;Logo'!$B$129</f>
        <v>Lacobel RAL 2001 - maximální rozměr 2550 x 1605 mm</v>
      </c>
      <c r="V10" t="str">
        <f>'Translate&amp;Prices&amp;Logo'!$B$129</f>
        <v>Lacobel RAL 2001 - maximální rozměr 2550 x 1605 mm</v>
      </c>
      <c r="AA10" t="s">
        <v>2008</v>
      </c>
      <c r="AB10" t="s">
        <v>3539</v>
      </c>
      <c r="AC10">
        <v>0</v>
      </c>
      <c r="AD10">
        <v>0</v>
      </c>
      <c r="AF10" t="s">
        <v>246</v>
      </c>
      <c r="AG10" t="s">
        <v>2021</v>
      </c>
      <c r="AY10" t="s">
        <v>2008</v>
      </c>
      <c r="AZ10" t="s">
        <v>2080</v>
      </c>
      <c r="BQ10" t="s">
        <v>3578</v>
      </c>
      <c r="BY10">
        <v>4</v>
      </c>
      <c r="CA10">
        <v>224</v>
      </c>
      <c r="CD10" t="s">
        <v>2029</v>
      </c>
      <c r="CE10">
        <v>1</v>
      </c>
      <c r="CF10">
        <v>0</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Y10" t="str">
        <f>CONCATENATE("strong ",'Translate&amp;Prices&amp;Logo'!B662," 92584T")</f>
        <v>strong tlumený 92584T</v>
      </c>
      <c r="CZ10" t="str">
        <f>CONCATENATE("strong ",'Translate&amp;Prices&amp;Logo'!B662," 350827")</f>
        <v>strong tlumený 350827</v>
      </c>
      <c r="DG10" t="s">
        <v>2504</v>
      </c>
      <c r="DH10" t="s">
        <v>2507</v>
      </c>
      <c r="DI10" t="s">
        <v>2504</v>
      </c>
      <c r="DJ10" t="s">
        <v>2507</v>
      </c>
      <c r="DN10" t="s">
        <v>125</v>
      </c>
      <c r="DO10" s="12" t="s">
        <v>125</v>
      </c>
      <c r="DT10" t="s">
        <v>726</v>
      </c>
      <c r="DU10" t="s">
        <v>2456</v>
      </c>
      <c r="DW10" t="s">
        <v>1405</v>
      </c>
      <c r="DX10" t="s">
        <v>1407</v>
      </c>
      <c r="ED10" t="s">
        <v>2881</v>
      </c>
      <c r="EE10" t="s">
        <v>2975</v>
      </c>
      <c r="ER10" t="s">
        <v>3418</v>
      </c>
      <c r="ES10" t="s">
        <v>3424</v>
      </c>
      <c r="FC10" t="str">
        <f>'Translate&amp;Prices&amp;Logo'!B48</f>
        <v>Vivaro černá mat</v>
      </c>
      <c r="FD10" s="572"/>
    </row>
    <row r="11" spans="1:164">
      <c r="A11" t="str">
        <f>'Translate&amp;Prices&amp;Logo'!B70</f>
        <v>BRW champagne light</v>
      </c>
      <c r="B11">
        <v>1</v>
      </c>
      <c r="C11" t="s">
        <v>1215</v>
      </c>
      <c r="D11">
        <v>0</v>
      </c>
      <c r="M11" t="str">
        <f>'Translate&amp;Prices&amp;Logo'!B559</f>
        <v>Vertikálně</v>
      </c>
      <c r="N11">
        <f>IF(Ram_1!$H$9=kombinace_1!M11,2,0)</f>
        <v>0</v>
      </c>
      <c r="Q11" t="str">
        <f>'Translate&amp;Prices&amp;Logo'!$B$110</f>
        <v>Stopsol bronz - maximální rozměr 2250 x 1605 mm</v>
      </c>
      <c r="R11" t="str">
        <f>'Translate&amp;Prices&amp;Logo'!$B$127</f>
        <v>Lacobel RAL 1014 - maximální rozměr 2550 x 1605 mm</v>
      </c>
      <c r="S11" t="str">
        <f>'Translate&amp;Prices&amp;Logo'!$B$106</f>
        <v>Satinato hnědé / Decormat Braz - maximální rozměr 2250 x 1605 mm</v>
      </c>
      <c r="U11" t="str">
        <f>'Translate&amp;Prices&amp;Logo'!$B$130</f>
        <v>Lacobel RAL 3004 - maximální rozměr 2550 x 1605 mm</v>
      </c>
      <c r="V11" t="str">
        <f>'Translate&amp;Prices&amp;Logo'!$B$130</f>
        <v>Lacobel RAL 3004 - maximální rozměr 2550 x 1605 mm</v>
      </c>
      <c r="AC11">
        <v>0</v>
      </c>
      <c r="AD11">
        <v>0</v>
      </c>
      <c r="AF11" t="s">
        <v>245</v>
      </c>
      <c r="AG11" t="s">
        <v>2023</v>
      </c>
      <c r="AY11" t="s">
        <v>2008</v>
      </c>
      <c r="AZ11" t="s">
        <v>2081</v>
      </c>
      <c r="BQ11" s="552" t="s">
        <v>3577</v>
      </c>
      <c r="BY11">
        <v>5</v>
      </c>
      <c r="CA11">
        <v>240</v>
      </c>
      <c r="CD11" t="str">
        <f>CONCATENATE('Translate&amp;Prices&amp;Logo'!B664,"_K12")</f>
        <v>spodní_K12</v>
      </c>
      <c r="CE11">
        <v>1</v>
      </c>
      <c r="CF11">
        <v>0</v>
      </c>
      <c r="DN11" t="s">
        <v>126</v>
      </c>
      <c r="DO11" s="12" t="s">
        <v>126</v>
      </c>
      <c r="DT11" t="s">
        <v>727</v>
      </c>
      <c r="DU11" t="s">
        <v>727</v>
      </c>
      <c r="DW11" t="s">
        <v>42</v>
      </c>
      <c r="DX11" t="s">
        <v>2436</v>
      </c>
      <c r="ED11" t="s">
        <v>2882</v>
      </c>
      <c r="EE11" t="s">
        <v>2976</v>
      </c>
      <c r="ER11" t="s">
        <v>3419</v>
      </c>
      <c r="ES11" t="s">
        <v>3425</v>
      </c>
      <c r="FC11" t="str">
        <f>'Translate&amp;Prices&amp;Logo'!B33</f>
        <v>Vivaro zlatá</v>
      </c>
      <c r="FD11" s="572"/>
    </row>
    <row r="12" spans="1:164">
      <c r="A12" t="str">
        <f>'Translate&amp;Prices&amp;Logo'!B17</f>
        <v>BRW tmavá nerez br. (Inox lija)</v>
      </c>
      <c r="B12">
        <v>1</v>
      </c>
      <c r="C12" t="s">
        <v>1215</v>
      </c>
      <c r="D12">
        <v>0</v>
      </c>
      <c r="M12" t="str">
        <f>'Translate&amp;Prices&amp;Logo'!B560</f>
        <v>Horizontálně i Vertikálně</v>
      </c>
      <c r="N12">
        <f>IF(Ram_1!$H$9=kombinace_1!M12,3,0)</f>
        <v>0</v>
      </c>
      <c r="Q12" t="str">
        <f>'Translate&amp;Prices&amp;Logo'!$B$111</f>
        <v>Lakomat - maximální rozměr 2550 x 1605 mm</v>
      </c>
      <c r="R12" t="str">
        <f>'Translate&amp;Prices&amp;Logo'!$B$128</f>
        <v>Lacobel RAL 1015 - maximální rozměr 2550 x 1605 mm</v>
      </c>
      <c r="S12" t="str">
        <f>'Translate&amp;Prices&amp;Logo'!$B$107</f>
        <v>Satinato grafit / Decormat grafit - maximální rozměr 2250 x 1605 mm</v>
      </c>
      <c r="U12" t="str">
        <f>'Translate&amp;Prices&amp;Logo'!$B$131</f>
        <v>Lacobel RAL 4006 - maximální rozměr 2550 x 1605 mm</v>
      </c>
      <c r="V12" t="str">
        <f>'Translate&amp;Prices&amp;Logo'!$B$131</f>
        <v>Lacobel RAL 4006 - maximální rozměr 2550 x 1605 mm</v>
      </c>
      <c r="AC12">
        <v>0</v>
      </c>
      <c r="AD12">
        <v>0</v>
      </c>
      <c r="AF12" t="s">
        <v>246</v>
      </c>
      <c r="AG12" t="s">
        <v>2023</v>
      </c>
      <c r="AY12" t="s">
        <v>2008</v>
      </c>
      <c r="AZ12" t="s">
        <v>2082</v>
      </c>
      <c r="BQ12" s="553"/>
      <c r="BR12" t="s">
        <v>2008</v>
      </c>
      <c r="BY12">
        <v>6</v>
      </c>
      <c r="CA12">
        <v>256</v>
      </c>
      <c r="CD12" t="s">
        <v>2032</v>
      </c>
      <c r="CE12">
        <v>1</v>
      </c>
      <c r="CF12">
        <v>0</v>
      </c>
      <c r="DN12" t="s">
        <v>127</v>
      </c>
      <c r="DO12" s="12" t="s">
        <v>127</v>
      </c>
      <c r="DT12" t="s">
        <v>717</v>
      </c>
      <c r="DU12" t="s">
        <v>719</v>
      </c>
      <c r="DW12" t="s">
        <v>1409</v>
      </c>
      <c r="DX12" t="s">
        <v>2437</v>
      </c>
      <c r="ED12" t="s">
        <v>2883</v>
      </c>
      <c r="EE12" t="s">
        <v>2977</v>
      </c>
      <c r="ER12" t="s">
        <v>3420</v>
      </c>
      <c r="ES12" t="s">
        <v>3426</v>
      </c>
      <c r="FC12" t="str">
        <f>'Translate&amp;Prices&amp;Logo'!B51</f>
        <v>Vivaro bílá mat</v>
      </c>
    </row>
    <row r="13" spans="1:164">
      <c r="A13" t="str">
        <f>'Translate&amp;Prices&amp;Logo'!$B$13</f>
        <v>BRW zlatá</v>
      </c>
      <c r="B13">
        <v>1</v>
      </c>
      <c r="C13" t="s">
        <v>1215</v>
      </c>
      <c r="D13">
        <v>1</v>
      </c>
      <c r="E13">
        <v>1</v>
      </c>
      <c r="Q13" t="str">
        <f>'Translate&amp;Prices&amp;Logo'!$B$113</f>
        <v>Antisol bronz - maximální rozměr 2550 x 1605 mm</v>
      </c>
      <c r="R13" t="str">
        <f>'Translate&amp;Prices&amp;Logo'!$B$129</f>
        <v>Lacobel RAL 2001 - maximální rozměr 2550 x 1605 mm</v>
      </c>
      <c r="S13" t="str">
        <f>'Translate&amp;Prices&amp;Logo'!$B$108</f>
        <v>Screen - maximální rozměr 2540 x 1850 mm</v>
      </c>
      <c r="U13" t="str">
        <f>'Translate&amp;Prices&amp;Logo'!$B$132</f>
        <v>Lacobel RAL 5002 - maximální rozměr 2550 x 1605 mm</v>
      </c>
      <c r="V13" t="str">
        <f>'Translate&amp;Prices&amp;Logo'!$B$132</f>
        <v>Lacobel RAL 5002 - maximální rozměr 2550 x 1605 mm</v>
      </c>
      <c r="AC13">
        <v>0</v>
      </c>
      <c r="AD13">
        <v>0</v>
      </c>
      <c r="AF13" t="s">
        <v>245</v>
      </c>
      <c r="AG13" t="s">
        <v>2026</v>
      </c>
      <c r="AY13" t="s">
        <v>2008</v>
      </c>
      <c r="AZ13" t="s">
        <v>2083</v>
      </c>
      <c r="BQ13" s="553"/>
      <c r="BR13" t="s">
        <v>2020</v>
      </c>
      <c r="BY13" t="str">
        <f>'Translate&amp;Prices&amp;Logo'!$B$558</f>
        <v>Horizontálně</v>
      </c>
      <c r="BZ13">
        <v>1</v>
      </c>
      <c r="CA13">
        <v>288</v>
      </c>
      <c r="CD13" t="str">
        <f>CONCATENATE('Translate&amp;Prices&amp;Logo'!B664,"_kraby")</f>
        <v>spodní_kraby</v>
      </c>
      <c r="CE13">
        <v>1</v>
      </c>
      <c r="CF13">
        <v>0</v>
      </c>
      <c r="DN13" t="s">
        <v>485</v>
      </c>
      <c r="DO13" s="12" t="s">
        <v>125</v>
      </c>
      <c r="DT13" t="s">
        <v>1647</v>
      </c>
      <c r="DU13" t="s">
        <v>1658</v>
      </c>
      <c r="DW13" t="s">
        <v>993</v>
      </c>
      <c r="DX13" t="s">
        <v>993</v>
      </c>
      <c r="ED13" t="s">
        <v>4262</v>
      </c>
      <c r="EE13" t="s">
        <v>4261</v>
      </c>
      <c r="ER13" t="s">
        <v>3421</v>
      </c>
      <c r="ES13" t="s">
        <v>3421</v>
      </c>
      <c r="FC13" t="str">
        <f>'Translate&amp;Prices&amp;Logo'!B52</f>
        <v>Vivaro bílá lesk</v>
      </c>
    </row>
    <row r="14" spans="1:164">
      <c r="A14" t="str">
        <f>'Translate&amp;Prices&amp;Logo'!$B$60</f>
        <v>BRW zlatá broušená</v>
      </c>
      <c r="B14">
        <v>1</v>
      </c>
      <c r="C14" t="s">
        <v>1215</v>
      </c>
      <c r="D14">
        <v>0</v>
      </c>
      <c r="E14">
        <v>1</v>
      </c>
      <c r="F14" t="str">
        <f>'Translate&amp;Prices&amp;Logo'!$B$78</f>
        <v>Siena elox (Vlevo a vpravo) + Varna elox (Nahoře a dole)</v>
      </c>
      <c r="J14" t="b">
        <f>TRUE</f>
        <v>1</v>
      </c>
      <c r="K14">
        <v>1</v>
      </c>
      <c r="Q14" t="str">
        <f>'Translate&amp;Prices&amp;Logo'!$B$114</f>
        <v>Antisol grafit - maximální rozměr 2550 x 1605 mm</v>
      </c>
      <c r="R14" t="str">
        <f>'Translate&amp;Prices&amp;Logo'!$B$130</f>
        <v>Lacobel RAL 3004 - maximální rozměr 2550 x 1605 mm</v>
      </c>
      <c r="S14" t="str">
        <f>'Translate&amp;Prices&amp;Logo'!$B$109</f>
        <v>Venus VG10 - maximální rozměr 3210 x 2250 mm</v>
      </c>
      <c r="U14" t="str">
        <f>'Translate&amp;Prices&amp;Logo'!$B$133</f>
        <v>Lacobel RAL 7035 - maximální rozměr 2550 x 1605 mm</v>
      </c>
      <c r="V14" t="str">
        <f>'Translate&amp;Prices&amp;Logo'!$B$133</f>
        <v>Lacobel RAL 7035 - maximální rozměr 2550 x 1605 mm</v>
      </c>
      <c r="AA14" t="s">
        <v>3324</v>
      </c>
      <c r="AB14" t="s">
        <v>2069</v>
      </c>
      <c r="AF14" t="s">
        <v>246</v>
      </c>
      <c r="AG14" t="s">
        <v>2026</v>
      </c>
      <c r="AY14" t="s">
        <v>2008</v>
      </c>
      <c r="AZ14" t="s">
        <v>2084</v>
      </c>
      <c r="BQ14" s="553"/>
      <c r="BY14" t="str">
        <f>'Translate&amp;Prices&amp;Logo'!$B$559</f>
        <v>Vertikálně</v>
      </c>
      <c r="BZ14">
        <v>2</v>
      </c>
      <c r="CA14">
        <v>320</v>
      </c>
      <c r="CD14" t="s">
        <v>2034</v>
      </c>
      <c r="CE14">
        <v>1</v>
      </c>
      <c r="CF14">
        <v>0</v>
      </c>
      <c r="CW14" t="s">
        <v>4295</v>
      </c>
      <c r="CX14" t="s">
        <v>4302</v>
      </c>
      <c r="DA14" t="s">
        <v>4303</v>
      </c>
      <c r="DB14" t="s">
        <v>4304</v>
      </c>
      <c r="DN14" t="s">
        <v>486</v>
      </c>
      <c r="DO14" s="12" t="s">
        <v>126</v>
      </c>
      <c r="DT14" t="s">
        <v>1648</v>
      </c>
      <c r="DU14" t="s">
        <v>1650</v>
      </c>
      <c r="DW14" t="s">
        <v>1641</v>
      </c>
      <c r="DX14" t="s">
        <v>2438</v>
      </c>
      <c r="ED14" t="s">
        <v>2884</v>
      </c>
      <c r="EE14" t="s">
        <v>2978</v>
      </c>
      <c r="ER14" t="s">
        <v>3422</v>
      </c>
      <c r="ES14" t="s">
        <v>3422</v>
      </c>
    </row>
    <row r="15" spans="1:164">
      <c r="A15" t="str">
        <f>'Translate&amp;Prices&amp;Logo'!B18</f>
        <v>Corleone (elox.)</v>
      </c>
      <c r="B15">
        <v>2</v>
      </c>
      <c r="C15" t="s">
        <v>1215</v>
      </c>
      <c r="D15">
        <v>0</v>
      </c>
      <c r="E15">
        <v>3</v>
      </c>
      <c r="F15" t="str">
        <f>'Translate&amp;Prices&amp;Logo'!$B$80</f>
        <v>Siena černá (Vlevo a vpravo) + Varna černá (Nahoře a dole)</v>
      </c>
      <c r="J15" t="b">
        <f>FALSE</f>
        <v>0</v>
      </c>
      <c r="K15">
        <v>2</v>
      </c>
      <c r="Q15" t="str">
        <f>'Translate&amp;Prices&amp;Logo'!$B$115</f>
        <v>Zrcadlo - maximální rozměr 2550 x 1605 mm</v>
      </c>
      <c r="R15" t="str">
        <f>'Translate&amp;Prices&amp;Logo'!$B$131</f>
        <v>Lacobel RAL 4006 - maximální rozměr 2550 x 1605 mm</v>
      </c>
      <c r="S15" t="str">
        <f>'Translate&amp;Prices&amp;Logo'!$B$110</f>
        <v>Stopsol bronz - maximální rozměr 2250 x 1605 mm</v>
      </c>
      <c r="U15" t="str">
        <f>'Translate&amp;Prices&amp;Logo'!$B$134</f>
        <v>Lacobel RAL 8017 - maximální rozměr 2550 x 1605 mm</v>
      </c>
      <c r="V15" t="str">
        <f>'Translate&amp;Prices&amp;Logo'!$B$134</f>
        <v>Lacobel RAL 8017 - maximální rozměr 2550 x 1605 mm</v>
      </c>
      <c r="AA15" t="s">
        <v>2020</v>
      </c>
      <c r="AB15" t="s">
        <v>2018</v>
      </c>
      <c r="AC15">
        <v>1</v>
      </c>
      <c r="AD15">
        <v>0</v>
      </c>
      <c r="AF15" t="s">
        <v>245</v>
      </c>
      <c r="AG15" t="s">
        <v>2028</v>
      </c>
      <c r="AY15" t="s">
        <v>4186</v>
      </c>
      <c r="BQ15" s="554"/>
      <c r="BY15" t="str">
        <f>'Translate&amp;Prices&amp;Logo'!$B$560</f>
        <v>Horizontálně i Vertikálně</v>
      </c>
      <c r="BZ15">
        <v>3</v>
      </c>
      <c r="CA15">
        <v>384</v>
      </c>
      <c r="CD15" t="s">
        <v>2035</v>
      </c>
      <c r="CE15">
        <v>1</v>
      </c>
      <c r="CF15">
        <v>0</v>
      </c>
      <c r="CW15" t="s">
        <v>4296</v>
      </c>
      <c r="CX15" t="s">
        <v>2156</v>
      </c>
      <c r="DA15" t="s">
        <v>4296</v>
      </c>
      <c r="DB15" t="s">
        <v>2156</v>
      </c>
      <c r="DG15" t="s">
        <v>4331</v>
      </c>
      <c r="DH15" t="s">
        <v>4308</v>
      </c>
      <c r="DI15" t="s">
        <v>4309</v>
      </c>
      <c r="DJ15" t="s">
        <v>4310</v>
      </c>
      <c r="DN15" t="s">
        <v>2235</v>
      </c>
      <c r="DO15" s="12" t="s">
        <v>127</v>
      </c>
      <c r="DT15" t="s">
        <v>1652</v>
      </c>
      <c r="DU15" t="s">
        <v>1652</v>
      </c>
      <c r="DW15" t="s">
        <v>994</v>
      </c>
      <c r="DX15" t="s">
        <v>2439</v>
      </c>
      <c r="ED15" t="s">
        <v>2885</v>
      </c>
      <c r="EE15" t="s">
        <v>2979</v>
      </c>
      <c r="ER15" t="s">
        <v>3423</v>
      </c>
      <c r="ES15" t="s">
        <v>3423</v>
      </c>
      <c r="FD15" s="572"/>
    </row>
    <row r="16" spans="1:164">
      <c r="A16" t="str">
        <f>'Translate&amp;Prices&amp;Logo'!B19</f>
        <v>Corleone černé mat</v>
      </c>
      <c r="B16">
        <v>2</v>
      </c>
      <c r="C16" t="s">
        <v>1215</v>
      </c>
      <c r="D16">
        <v>0</v>
      </c>
      <c r="E16">
        <v>3</v>
      </c>
      <c r="F16" t="str">
        <f>'Translate&amp;Prices&amp;Logo'!$B$82</f>
        <v>Palio elox (Vlevo a vpravo) + Varna elox (Nahoře a dole)</v>
      </c>
      <c r="Q16" t="str">
        <f>'Translate&amp;Prices&amp;Logo'!$B$116</f>
        <v>Zrcadlo hnědé - maximální rozměr 2250 x 1605 mm</v>
      </c>
      <c r="R16" t="str">
        <f>'Translate&amp;Prices&amp;Logo'!$B$132</f>
        <v>Lacobel RAL 5002 - maximální rozměr 2550 x 1605 mm</v>
      </c>
      <c r="S16" t="str">
        <f>'Translate&amp;Prices&amp;Logo'!$B$113</f>
        <v>Antisol bronz - maximální rozměr 2550 x 1605 mm</v>
      </c>
      <c r="U16" t="str">
        <f>'Translate&amp;Prices&amp;Logo'!$B$135</f>
        <v>Lacobel RAL 9003 - maximální rozměr 2550 x 1605 mm</v>
      </c>
      <c r="V16" t="str">
        <f>'Translate&amp;Prices&amp;Logo'!$B$135</f>
        <v>Lacobel RAL 9003 - maximální rozměr 2550 x 1605 mm</v>
      </c>
      <c r="AA16" t="s">
        <v>2020</v>
      </c>
      <c r="AB16" t="s">
        <v>2021</v>
      </c>
      <c r="AC16">
        <v>1</v>
      </c>
      <c r="AD16">
        <v>1</v>
      </c>
      <c r="AF16" t="s">
        <v>246</v>
      </c>
      <c r="AG16" t="s">
        <v>2028</v>
      </c>
      <c r="AY16" t="s">
        <v>4186</v>
      </c>
      <c r="AZ16" t="s">
        <v>4187</v>
      </c>
      <c r="CA16">
        <v>448</v>
      </c>
      <c r="CD16" t="str">
        <f>'Translate&amp;Prices&amp;Logo'!B659</f>
        <v>StrongLift_horní</v>
      </c>
      <c r="CE16">
        <v>1</v>
      </c>
      <c r="CF16">
        <v>1</v>
      </c>
      <c r="CW16" t="s">
        <v>4297</v>
      </c>
      <c r="CX16" t="s">
        <v>4299</v>
      </c>
      <c r="DA16" t="s">
        <v>4297</v>
      </c>
      <c r="DB16" t="s">
        <v>4299</v>
      </c>
      <c r="DG16" t="s">
        <v>4263</v>
      </c>
      <c r="DH16" t="s">
        <v>4264</v>
      </c>
      <c r="DI16" t="s">
        <v>4263</v>
      </c>
      <c r="DJ16" t="s">
        <v>4264</v>
      </c>
      <c r="DN16" t="s">
        <v>561</v>
      </c>
      <c r="DO16" s="12" t="s">
        <v>125</v>
      </c>
      <c r="DT16" t="s">
        <v>720</v>
      </c>
      <c r="DU16" t="s">
        <v>720</v>
      </c>
      <c r="DW16" t="s">
        <v>997</v>
      </c>
      <c r="DX16" t="s">
        <v>997</v>
      </c>
      <c r="ED16" t="s">
        <v>2886</v>
      </c>
      <c r="EE16" t="s">
        <v>2980</v>
      </c>
      <c r="ER16" t="s">
        <v>4196</v>
      </c>
      <c r="ES16" t="s">
        <v>4196</v>
      </c>
      <c r="FD16" s="572"/>
    </row>
    <row r="17" spans="1:160">
      <c r="A17" t="str">
        <f>'Translate&amp;Prices&amp;Logo'!B64</f>
        <v>ASTI černá mat</v>
      </c>
      <c r="B17">
        <v>1</v>
      </c>
      <c r="C17" t="s">
        <v>2054</v>
      </c>
      <c r="D17">
        <v>0</v>
      </c>
      <c r="E17">
        <v>1</v>
      </c>
      <c r="F17" t="str">
        <f>'Translate&amp;Prices&amp;Logo'!$B$87</f>
        <v>Palio černá (Vlevo a vpravo) + Varna černá (Nahoře a dole)</v>
      </c>
      <c r="Q17" t="str">
        <f>'Translate&amp;Prices&amp;Logo'!$B$117</f>
        <v>Zrcadlo grafit - maximální rozměr 2550 x 1605 mm</v>
      </c>
      <c r="R17" t="str">
        <f>'Translate&amp;Prices&amp;Logo'!$B$133</f>
        <v>Lacobel RAL 7035 - maximální rozměr 2550 x 1605 mm</v>
      </c>
      <c r="S17" t="str">
        <f>'Translate&amp;Prices&amp;Logo'!$B$114</f>
        <v>Antisol grafit - maximální rozměr 2550 x 1605 mm</v>
      </c>
      <c r="U17" t="str">
        <f>'Translate&amp;Prices&amp;Logo'!$B$136</f>
        <v>Lacobel RAL 9005 - maximální rozměr 2550 x 1605 mm</v>
      </c>
      <c r="V17" t="str">
        <f>'Translate&amp;Prices&amp;Logo'!$B$136</f>
        <v>Lacobel RAL 9005 - maximální rozměr 2550 x 1605 mm</v>
      </c>
      <c r="AA17" t="s">
        <v>2020</v>
      </c>
      <c r="AB17" t="e">
        <f>IF(Ram_1!AU7=2,"FREEspace"," ")</f>
        <v>#N/A</v>
      </c>
      <c r="AC17">
        <v>0</v>
      </c>
      <c r="AD17">
        <v>0</v>
      </c>
      <c r="AF17" t="s">
        <v>245</v>
      </c>
      <c r="AG17" t="s">
        <v>2029</v>
      </c>
      <c r="AY17" t="s">
        <v>4186</v>
      </c>
      <c r="AZ17" t="s">
        <v>4188</v>
      </c>
      <c r="CA17">
        <v>480</v>
      </c>
      <c r="CD17" t="str">
        <f>'Translate&amp;Prices&amp;Logo'!B660</f>
        <v>StrongLift_spodní</v>
      </c>
      <c r="CE17">
        <v>1</v>
      </c>
      <c r="CF17">
        <v>1</v>
      </c>
      <c r="CW17" t="s">
        <v>4298</v>
      </c>
      <c r="CX17" t="s">
        <v>4300</v>
      </c>
      <c r="DA17" t="s">
        <v>4298</v>
      </c>
      <c r="DB17" t="s">
        <v>4300</v>
      </c>
      <c r="DG17" t="s">
        <v>4292</v>
      </c>
      <c r="DH17" t="s">
        <v>4305</v>
      </c>
      <c r="DI17" t="s">
        <v>4292</v>
      </c>
      <c r="DJ17" t="s">
        <v>4305</v>
      </c>
      <c r="DN17" t="s">
        <v>2376</v>
      </c>
      <c r="DO17" s="12" t="s">
        <v>126</v>
      </c>
      <c r="DT17" t="s">
        <v>721</v>
      </c>
      <c r="DU17" t="s">
        <v>721</v>
      </c>
      <c r="DW17" t="s">
        <v>1587</v>
      </c>
      <c r="DX17" t="s">
        <v>2440</v>
      </c>
      <c r="ED17" t="s">
        <v>2887</v>
      </c>
      <c r="EE17" t="s">
        <v>2981</v>
      </c>
      <c r="ER17" t="s">
        <v>4198</v>
      </c>
      <c r="ES17" t="s">
        <v>4198</v>
      </c>
      <c r="FD17" s="572"/>
    </row>
    <row r="18" spans="1:160">
      <c r="A18" t="str">
        <f>'Translate&amp;Prices&amp;Logo'!B65</f>
        <v>ASTI antracit RAL 7021 mat</v>
      </c>
      <c r="B18">
        <v>1</v>
      </c>
      <c r="C18" t="s">
        <v>2054</v>
      </c>
      <c r="D18">
        <v>0</v>
      </c>
      <c r="E18">
        <v>1</v>
      </c>
      <c r="F18" t="str">
        <f>'Translate&amp;Prices&amp;Logo'!$B$84</f>
        <v>Rocca elox (Vlevo a vpravo) + Varna elox (Nahoře a dole)</v>
      </c>
      <c r="Q18" t="str">
        <f>'Translate&amp;Prices&amp;Logo'!$B$119</f>
        <v>Krizet - maximální rozměr 2130 x 1650 mm</v>
      </c>
      <c r="R18" t="str">
        <f>'Translate&amp;Prices&amp;Logo'!$B$134</f>
        <v>Lacobel RAL 8017 - maximální rozměr 2550 x 1605 mm</v>
      </c>
      <c r="S18" t="str">
        <f>'Translate&amp;Prices&amp;Logo'!$B$119</f>
        <v>Krizet - maximální rozměr 2130 x 1650 mm</v>
      </c>
      <c r="U18" t="str">
        <f>'Translate&amp;Prices&amp;Logo'!$B$137</f>
        <v>Lacobel RAL 9006 - maximální rozměr 2550 x 1605 mm</v>
      </c>
      <c r="V18" t="str">
        <f>'Translate&amp;Prices&amp;Logo'!$B$137</f>
        <v>Lacobel RAL 9006 - maximální rozměr 2550 x 1605 mm</v>
      </c>
      <c r="AA18" t="s">
        <v>2020</v>
      </c>
      <c r="AB18" t="s">
        <v>2024</v>
      </c>
      <c r="AC18">
        <v>0</v>
      </c>
      <c r="AD18">
        <v>0</v>
      </c>
      <c r="AF18" t="s">
        <v>246</v>
      </c>
      <c r="AG18" t="s">
        <v>2029</v>
      </c>
      <c r="AY18" t="s">
        <v>4186</v>
      </c>
      <c r="AZ18" t="s">
        <v>4189</v>
      </c>
      <c r="BY18">
        <v>1</v>
      </c>
      <c r="CA18">
        <v>576</v>
      </c>
      <c r="CD18" t="s">
        <v>2040</v>
      </c>
      <c r="CE18">
        <v>1</v>
      </c>
      <c r="CF18">
        <v>0</v>
      </c>
      <c r="CX18" t="s">
        <v>4301</v>
      </c>
      <c r="DB18" t="s">
        <v>4301</v>
      </c>
      <c r="DG18" t="s">
        <v>2123</v>
      </c>
      <c r="DH18" t="s">
        <v>2133</v>
      </c>
      <c r="DI18" t="s">
        <v>2123</v>
      </c>
      <c r="DJ18" t="s">
        <v>2133</v>
      </c>
      <c r="DN18" t="s">
        <v>2377</v>
      </c>
      <c r="DO18" s="12" t="s">
        <v>127</v>
      </c>
      <c r="DT18" t="s">
        <v>722</v>
      </c>
      <c r="DU18" t="s">
        <v>722</v>
      </c>
      <c r="DW18" t="s">
        <v>1636</v>
      </c>
      <c r="DX18" t="s">
        <v>2441</v>
      </c>
      <c r="ED18" t="s">
        <v>2888</v>
      </c>
      <c r="EE18" t="s">
        <v>2982</v>
      </c>
      <c r="ER18" t="s">
        <v>4200</v>
      </c>
      <c r="ES18" t="s">
        <v>4200</v>
      </c>
    </row>
    <row r="19" spans="1:160">
      <c r="A19" t="str">
        <f>'Translate&amp;Prices&amp;Logo'!B21</f>
        <v>Imola (elox.)</v>
      </c>
      <c r="B19">
        <v>2</v>
      </c>
      <c r="C19" t="s">
        <v>2054</v>
      </c>
      <c r="D19">
        <v>0</v>
      </c>
      <c r="F19" t="str">
        <f>'Translate&amp;Prices&amp;Logo'!$B$86</f>
        <v>Rocca černá (Vlevo a vpravo) + Varna černá (Nahoře a dole)</v>
      </c>
      <c r="Q19" t="str">
        <f>'Translate&amp;Prices&amp;Logo'!$B$120</f>
        <v>Master (Carre) - maximální rozměr 2000 x 1605 mm</v>
      </c>
      <c r="R19" t="str">
        <f>'Translate&amp;Prices&amp;Logo'!$B$135</f>
        <v>Lacobel RAL 9003 - maximální rozměr 2550 x 1605 mm</v>
      </c>
      <c r="S19" t="str">
        <f>'Translate&amp;Prices&amp;Logo'!$B$120</f>
        <v>Master (Carre) - maximální rozměr 2000 x 1605 mm</v>
      </c>
      <c r="U19" t="str">
        <f>'Translate&amp;Prices&amp;Logo'!$B$138</f>
        <v>Lacobel RAL 9007 - maximální rozměr 2550 x 1605 mm</v>
      </c>
      <c r="V19" t="str">
        <f>'Translate&amp;Prices&amp;Logo'!$B$138</f>
        <v>Lacobel RAL 9007 - maximální rozměr 2550 x 1605 mm</v>
      </c>
      <c r="AA19" t="s">
        <v>2020</v>
      </c>
      <c r="AB19" t="s">
        <v>2025</v>
      </c>
      <c r="AC19">
        <v>0</v>
      </c>
      <c r="AD19">
        <v>0</v>
      </c>
      <c r="AF19" t="s">
        <v>245</v>
      </c>
      <c r="AG19" t="s">
        <v>2031</v>
      </c>
      <c r="AY19" t="s">
        <v>4186</v>
      </c>
      <c r="AZ19" t="s">
        <v>4190</v>
      </c>
      <c r="BY19">
        <v>2</v>
      </c>
      <c r="CA19">
        <v>672</v>
      </c>
      <c r="DG19" t="s">
        <v>2126</v>
      </c>
      <c r="DH19" t="s">
        <v>4306</v>
      </c>
      <c r="DI19" t="s">
        <v>2126</v>
      </c>
      <c r="DJ19" t="s">
        <v>4306</v>
      </c>
      <c r="DN19" t="s">
        <v>2800</v>
      </c>
      <c r="DO19" t="s">
        <v>125</v>
      </c>
      <c r="DT19" t="s">
        <v>723</v>
      </c>
      <c r="DU19" t="s">
        <v>723</v>
      </c>
      <c r="DW19" t="s">
        <v>998</v>
      </c>
      <c r="DX19" t="s">
        <v>998</v>
      </c>
      <c r="ED19" t="s">
        <v>2889</v>
      </c>
      <c r="EE19" t="s">
        <v>2983</v>
      </c>
      <c r="ER19" t="s">
        <v>4202</v>
      </c>
      <c r="ES19" t="s">
        <v>4202</v>
      </c>
      <c r="FD19" s="572"/>
    </row>
    <row r="20" spans="1:160">
      <c r="A20" t="str">
        <f>'Translate&amp;Prices&amp;Logo'!B22</f>
        <v>Imola černá mat</v>
      </c>
      <c r="B20">
        <v>2</v>
      </c>
      <c r="C20" t="s">
        <v>2054</v>
      </c>
      <c r="D20">
        <v>0</v>
      </c>
      <c r="Q20" t="str">
        <f>'Translate&amp;Prices&amp;Logo'!$B$121</f>
        <v>Master  Lens  - maximální rozměr 2000 x 1605 mm</v>
      </c>
      <c r="R20" t="str">
        <f>'Translate&amp;Prices&amp;Logo'!$B$136</f>
        <v>Lacobel RAL 9005 - maximální rozměr 2550 x 1605 mm</v>
      </c>
      <c r="S20" t="str">
        <f>'Translate&amp;Prices&amp;Logo'!$B$121</f>
        <v>Master  Lens  - maximální rozměr 2000 x 1605 mm</v>
      </c>
      <c r="U20" t="str">
        <f>'Translate&amp;Prices&amp;Logo'!$B$139</f>
        <v>Lacobel RAL 9010 - maximální rozměr 2550 x 1605 mm</v>
      </c>
      <c r="V20" t="str">
        <f>'Translate&amp;Prices&amp;Logo'!$B$139</f>
        <v>Lacobel RAL 9010 - maximální rozměr 2550 x 1605 mm</v>
      </c>
      <c r="AA20" t="s">
        <v>2020</v>
      </c>
      <c r="AB20" t="s">
        <v>2027</v>
      </c>
      <c r="AC20">
        <v>0</v>
      </c>
      <c r="AD20">
        <v>0</v>
      </c>
      <c r="AF20" t="s">
        <v>246</v>
      </c>
      <c r="AG20" t="s">
        <v>2031</v>
      </c>
      <c r="AY20" t="s">
        <v>4186</v>
      </c>
      <c r="AZ20" t="s">
        <v>4191</v>
      </c>
      <c r="BY20">
        <v>3</v>
      </c>
      <c r="CA20">
        <v>736</v>
      </c>
      <c r="DG20" t="s">
        <v>4293</v>
      </c>
      <c r="DH20" t="s">
        <v>2135</v>
      </c>
      <c r="DI20" t="s">
        <v>4293</v>
      </c>
      <c r="DJ20" t="s">
        <v>2135</v>
      </c>
      <c r="DN20" t="s">
        <v>2651</v>
      </c>
      <c r="DO20" t="s">
        <v>126</v>
      </c>
      <c r="DT20" t="s">
        <v>725</v>
      </c>
      <c r="DU20" t="s">
        <v>725</v>
      </c>
      <c r="DW20" t="s">
        <v>1599</v>
      </c>
      <c r="DX20" t="s">
        <v>2442</v>
      </c>
      <c r="ED20" t="s">
        <v>2890</v>
      </c>
      <c r="EE20" t="s">
        <v>2984</v>
      </c>
      <c r="ER20" t="s">
        <v>4204</v>
      </c>
      <c r="ES20" t="s">
        <v>4204</v>
      </c>
      <c r="FD20" s="572"/>
    </row>
    <row r="21" spans="1:160">
      <c r="A21" t="str">
        <f>'Translate&amp;Prices&amp;Logo'!B23</f>
        <v>Imola bílá mat</v>
      </c>
      <c r="B21">
        <v>2</v>
      </c>
      <c r="C21" t="s">
        <v>2054</v>
      </c>
      <c r="D21">
        <v>0</v>
      </c>
      <c r="Q21" t="str">
        <f>'Translate&amp;Prices&amp;Logo'!$B$122</f>
        <v>Master  Ligne - maximální rozměr 2000 x 1605 mm</v>
      </c>
      <c r="R21" t="str">
        <f>'Translate&amp;Prices&amp;Logo'!$B$137</f>
        <v>Lacobel RAL 9006 - maximální rozměr 2550 x 1605 mm</v>
      </c>
      <c r="S21" t="str">
        <f>'Translate&amp;Prices&amp;Logo'!$B$122</f>
        <v>Master  Ligne - maximální rozměr 2000 x 1605 mm</v>
      </c>
      <c r="U21" t="str">
        <f>'Translate&amp;Prices&amp;Logo'!$B$140</f>
        <v>Lacobel RAL 0128 - maximální rozměr 2550 x 1605 mm</v>
      </c>
      <c r="V21" t="str">
        <f>'Translate&amp;Prices&amp;Logo'!$B$140</f>
        <v>Lacobel RAL 0128 - maximální rozměr 2550 x 1605 mm</v>
      </c>
      <c r="AA21" t="s">
        <v>2020</v>
      </c>
      <c r="AB21" t="s">
        <v>2023</v>
      </c>
      <c r="AC21">
        <v>1</v>
      </c>
      <c r="AD21">
        <v>0</v>
      </c>
      <c r="AF21" t="s">
        <v>245</v>
      </c>
      <c r="AG21" t="s">
        <v>2032</v>
      </c>
      <c r="BY21">
        <v>4</v>
      </c>
      <c r="CA21">
        <v>768</v>
      </c>
      <c r="DG21" t="s">
        <v>4294</v>
      </c>
      <c r="DH21" t="s">
        <v>4307</v>
      </c>
      <c r="DI21" t="s">
        <v>4294</v>
      </c>
      <c r="DJ21" t="s">
        <v>4307</v>
      </c>
      <c r="DN21" t="s">
        <v>1781</v>
      </c>
      <c r="DO21" t="s">
        <v>127</v>
      </c>
      <c r="DT21" t="s">
        <v>61</v>
      </c>
      <c r="DU21" t="s">
        <v>61</v>
      </c>
      <c r="DW21" t="s">
        <v>2812</v>
      </c>
      <c r="DX21" t="s">
        <v>2813</v>
      </c>
      <c r="ED21" t="s">
        <v>2891</v>
      </c>
      <c r="EE21" t="s">
        <v>2985</v>
      </c>
      <c r="ER21" t="s">
        <v>4206</v>
      </c>
      <c r="ES21" t="s">
        <v>4206</v>
      </c>
    </row>
    <row r="22" spans="1:160">
      <c r="A22" t="str">
        <f>'Translate&amp;Prices&amp;Logo'!$B$49</f>
        <v>Imola zlatá</v>
      </c>
      <c r="B22">
        <v>2</v>
      </c>
      <c r="C22" t="s">
        <v>2054</v>
      </c>
      <c r="D22">
        <v>0</v>
      </c>
      <c r="E22">
        <v>1</v>
      </c>
      <c r="Q22" t="str">
        <f>'Translate&amp;Prices&amp;Logo'!$B$123</f>
        <v>Master  Point - maximální rozměr 2000 x 1605 mm</v>
      </c>
      <c r="R22" t="str">
        <f>'Translate&amp;Prices&amp;Logo'!$B$138</f>
        <v>Lacobel RAL 9007 - maximální rozměr 2550 x 1605 mm</v>
      </c>
      <c r="S22" t="str">
        <f>'Translate&amp;Prices&amp;Logo'!$B$123</f>
        <v>Master  Point - maximální rozměr 2000 x 1605 mm</v>
      </c>
      <c r="U22" t="str">
        <f>'Translate&amp;Prices&amp;Logo'!$B$141</f>
        <v>Lacobel RAL 0327 - maximální rozměr 2550 x 1605 mm</v>
      </c>
      <c r="V22" t="str">
        <f>'Translate&amp;Prices&amp;Logo'!$B$141</f>
        <v>Lacobel RAL 0327 - maximální rozměr 2550 x 1605 mm</v>
      </c>
      <c r="AA22" t="s">
        <v>2020</v>
      </c>
      <c r="AB22" t="s">
        <v>2182</v>
      </c>
      <c r="AC22">
        <v>1</v>
      </c>
      <c r="AD22">
        <v>0</v>
      </c>
      <c r="AF22" t="s">
        <v>246</v>
      </c>
      <c r="AG22" t="s">
        <v>2032</v>
      </c>
      <c r="BY22">
        <v>5</v>
      </c>
      <c r="CA22">
        <v>832</v>
      </c>
      <c r="CW22" t="s">
        <v>4311</v>
      </c>
      <c r="CX22" t="s">
        <v>4315</v>
      </c>
      <c r="DA22" t="s">
        <v>4319</v>
      </c>
      <c r="DB22" t="s">
        <v>4320</v>
      </c>
      <c r="DT22" t="s">
        <v>62</v>
      </c>
      <c r="DU22" t="s">
        <v>62</v>
      </c>
      <c r="DW22" t="s">
        <v>681</v>
      </c>
      <c r="DX22" t="s">
        <v>683</v>
      </c>
      <c r="ED22" t="s">
        <v>2892</v>
      </c>
      <c r="EE22" t="s">
        <v>2986</v>
      </c>
      <c r="ER22" t="s">
        <v>3424</v>
      </c>
      <c r="ES22" t="s">
        <v>3424</v>
      </c>
    </row>
    <row r="23" spans="1:160">
      <c r="A23" t="str">
        <f>'Translate&amp;Prices&amp;Logo'!B24</f>
        <v>Modena (elox.)</v>
      </c>
      <c r="B23">
        <v>2</v>
      </c>
      <c r="C23" t="s">
        <v>1215</v>
      </c>
      <c r="D23">
        <v>0</v>
      </c>
      <c r="Q23" t="str">
        <f>'Translate&amp;Prices&amp;Logo'!$B$125</f>
        <v>Master  Shine - maximální rozměr 2000 x 1605 mm</v>
      </c>
      <c r="R23" t="str">
        <f>'Translate&amp;Prices&amp;Logo'!$B$139</f>
        <v>Lacobel RAL 9010 - maximální rozměr 2550 x 1605 mm</v>
      </c>
      <c r="S23" t="str">
        <f>'Translate&amp;Prices&amp;Logo'!$B$125</f>
        <v>Master  Shine - maximální rozměr 2000 x 1605 mm</v>
      </c>
      <c r="U23">
        <f>'Translate&amp;Prices&amp;Logo'!$B$142</f>
        <v>0</v>
      </c>
      <c r="V23">
        <f>'Translate&amp;Prices&amp;Logo'!$B$142</f>
        <v>0</v>
      </c>
      <c r="AA23" t="s">
        <v>2020</v>
      </c>
      <c r="AB23" t="s">
        <v>2028</v>
      </c>
      <c r="AC23">
        <v>1</v>
      </c>
      <c r="AD23">
        <v>0</v>
      </c>
      <c r="AF23" t="s">
        <v>245</v>
      </c>
      <c r="AG23" t="s">
        <v>2033</v>
      </c>
      <c r="BY23">
        <v>6</v>
      </c>
      <c r="CA23">
        <v>960</v>
      </c>
      <c r="CW23" t="s">
        <v>4312</v>
      </c>
      <c r="CX23" t="s">
        <v>2156</v>
      </c>
      <c r="DA23" t="s">
        <v>4312</v>
      </c>
      <c r="DB23" t="s">
        <v>2156</v>
      </c>
      <c r="DG23" t="s">
        <v>4332</v>
      </c>
      <c r="DH23" t="s">
        <v>4333</v>
      </c>
      <c r="DI23" t="s">
        <v>4334</v>
      </c>
      <c r="DJ23" t="s">
        <v>4335</v>
      </c>
      <c r="DT23" t="s">
        <v>45</v>
      </c>
      <c r="DU23" t="s">
        <v>45</v>
      </c>
      <c r="DW23" t="s">
        <v>1411</v>
      </c>
      <c r="DX23" t="s">
        <v>2443</v>
      </c>
      <c r="ED23" t="s">
        <v>2893</v>
      </c>
      <c r="EE23" t="s">
        <v>2987</v>
      </c>
      <c r="ER23" t="s">
        <v>3425</v>
      </c>
      <c r="ES23" t="s">
        <v>3425</v>
      </c>
    </row>
    <row r="24" spans="1:160">
      <c r="A24" t="str">
        <f>'Translate&amp;Prices&amp;Logo'!B25</f>
        <v>Modena černá mat</v>
      </c>
      <c r="B24">
        <v>2</v>
      </c>
      <c r="C24" t="s">
        <v>1215</v>
      </c>
      <c r="D24">
        <v>0</v>
      </c>
      <c r="Q24" t="str">
        <f>'Translate&amp;Prices&amp;Logo'!$B$105</f>
        <v>MASTER SOFT - maximální rozměr 2000 x 1605 mm</v>
      </c>
      <c r="R24" t="str">
        <f>'Translate&amp;Prices&amp;Logo'!$B$140</f>
        <v>Lacobel RAL 0128 - maximální rozměr 2550 x 1605 mm</v>
      </c>
      <c r="U24">
        <f>'Translate&amp;Prices&amp;Logo'!$B$143</f>
        <v>0</v>
      </c>
      <c r="V24">
        <f>'Translate&amp;Prices&amp;Logo'!$B$143</f>
        <v>0</v>
      </c>
      <c r="AF24" t="s">
        <v>246</v>
      </c>
      <c r="AG24" t="s">
        <v>2033</v>
      </c>
      <c r="BY24">
        <v>7</v>
      </c>
      <c r="CW24" t="s">
        <v>4313</v>
      </c>
      <c r="CX24" t="s">
        <v>4316</v>
      </c>
      <c r="DA24" t="s">
        <v>4313</v>
      </c>
      <c r="DB24" t="s">
        <v>4316</v>
      </c>
      <c r="DG24" t="s">
        <v>4263</v>
      </c>
      <c r="DH24" t="s">
        <v>4264</v>
      </c>
      <c r="DI24" t="s">
        <v>4263</v>
      </c>
      <c r="DJ24" t="s">
        <v>4264</v>
      </c>
      <c r="DT24" t="s">
        <v>51</v>
      </c>
      <c r="DU24" t="s">
        <v>51</v>
      </c>
      <c r="DW24" t="s">
        <v>999</v>
      </c>
      <c r="DX24" t="s">
        <v>999</v>
      </c>
      <c r="ED24" t="s">
        <v>2894</v>
      </c>
      <c r="EE24" t="s">
        <v>2988</v>
      </c>
      <c r="ER24" t="s">
        <v>3426</v>
      </c>
      <c r="ES24" t="s">
        <v>3426</v>
      </c>
    </row>
    <row r="25" spans="1:160">
      <c r="A25" t="str">
        <f>'Translate&amp;Prices&amp;Logo'!B27</f>
        <v>Modena černá broušená</v>
      </c>
      <c r="B25">
        <v>2</v>
      </c>
      <c r="C25" t="s">
        <v>1215</v>
      </c>
      <c r="D25">
        <v>0</v>
      </c>
      <c r="Q25" t="str">
        <f>'Translate&amp;Prices&amp;Logo'!$B$112</f>
        <v>MASTER FLEX - maximální rozměr 2000 x 1605 mm</v>
      </c>
      <c r="R25" t="str">
        <f>'Translate&amp;Prices&amp;Logo'!$B$141</f>
        <v>Lacobel RAL 0327 - maximální rozměr 2550 x 1605 mm</v>
      </c>
      <c r="U25" t="str">
        <f>'Translate&amp;Prices&amp;Logo'!$B$144</f>
        <v>Lacobel RAL 0667 - maximální rozměr 2550 x 1605 mm</v>
      </c>
      <c r="V25" t="str">
        <f>'Translate&amp;Prices&amp;Logo'!$B$144</f>
        <v>Lacobel RAL 0667 - maximální rozměr 2550 x 1605 mm</v>
      </c>
      <c r="AF25" t="s">
        <v>245</v>
      </c>
      <c r="AG25" t="s">
        <v>2034</v>
      </c>
      <c r="BY25">
        <v>8</v>
      </c>
      <c r="CW25" t="s">
        <v>4314</v>
      </c>
      <c r="CX25" t="s">
        <v>4317</v>
      </c>
      <c r="DA25" t="s">
        <v>4314</v>
      </c>
      <c r="DB25" t="s">
        <v>4317</v>
      </c>
      <c r="DG25" t="s">
        <v>4321</v>
      </c>
      <c r="DH25" t="s">
        <v>4324</v>
      </c>
      <c r="DI25" t="s">
        <v>4321</v>
      </c>
      <c r="DJ25" t="s">
        <v>4324</v>
      </c>
      <c r="DT25" t="s">
        <v>52</v>
      </c>
      <c r="DU25" t="s">
        <v>52</v>
      </c>
      <c r="DW25" t="s">
        <v>2039</v>
      </c>
      <c r="DX25" t="s">
        <v>2444</v>
      </c>
      <c r="ED25" t="s">
        <v>2895</v>
      </c>
      <c r="EE25" t="s">
        <v>2989</v>
      </c>
      <c r="ER25" t="s">
        <v>3431</v>
      </c>
      <c r="ES25" t="s">
        <v>3431</v>
      </c>
    </row>
    <row r="26" spans="1:160">
      <c r="A26" t="str">
        <f>'Translate&amp;Prices&amp;Logo'!B28</f>
        <v>Modena tmavá nerez br. (inox lija)</v>
      </c>
      <c r="B26">
        <v>2</v>
      </c>
      <c r="C26" t="s">
        <v>1215</v>
      </c>
      <c r="D26">
        <v>0</v>
      </c>
      <c r="Q26" t="str">
        <f>'Translate&amp;Prices&amp;Logo'!$B$118</f>
        <v>VISIOSUN - maximální rozměr 3210 x 2000 mm</v>
      </c>
      <c r="R26">
        <f>'Translate&amp;Prices&amp;Logo'!$B$142</f>
        <v>0</v>
      </c>
      <c r="U26" t="str">
        <f>'Translate&amp;Prices&amp;Logo'!$B$145</f>
        <v>Lacobel RAL 1164 - maximální rozměr 2550 x 1605 mm</v>
      </c>
      <c r="V26" t="str">
        <f>'Translate&amp;Prices&amp;Logo'!$B$145</f>
        <v>Lacobel RAL 1164 - maximální rozměr 2550 x 1605 mm</v>
      </c>
      <c r="AF26" t="s">
        <v>246</v>
      </c>
      <c r="AG26" t="s">
        <v>2034</v>
      </c>
      <c r="BY26">
        <v>9</v>
      </c>
      <c r="CX26" t="s">
        <v>4318</v>
      </c>
      <c r="DB26" t="s">
        <v>4318</v>
      </c>
      <c r="DG26" t="s">
        <v>2123</v>
      </c>
      <c r="DH26" t="s">
        <v>2133</v>
      </c>
      <c r="DI26" t="s">
        <v>2123</v>
      </c>
      <c r="DJ26" t="s">
        <v>2133</v>
      </c>
      <c r="DT26" t="s">
        <v>53</v>
      </c>
      <c r="DU26" t="s">
        <v>53</v>
      </c>
      <c r="DW26" t="s">
        <v>1000</v>
      </c>
      <c r="DX26" t="s">
        <v>1000</v>
      </c>
      <c r="ED26" t="s">
        <v>2896</v>
      </c>
      <c r="EE26" t="s">
        <v>2990</v>
      </c>
      <c r="ER26" t="s">
        <v>3432</v>
      </c>
      <c r="ES26" t="s">
        <v>3432</v>
      </c>
    </row>
    <row r="27" spans="1:160">
      <c r="A27" t="str">
        <f>'Translate&amp;Prices&amp;Logo'!B29</f>
        <v>Palio (elox.)</v>
      </c>
      <c r="B27">
        <v>2</v>
      </c>
      <c r="C27" t="s">
        <v>1215</v>
      </c>
      <c r="D27">
        <v>0</v>
      </c>
      <c r="E27">
        <v>1</v>
      </c>
      <c r="Q27" t="str">
        <f>'Translate&amp;Prices&amp;Logo'!$B$124</f>
        <v>FLUTES - maximální rozměr 2540 x 1610 mm</v>
      </c>
      <c r="R27">
        <f>'Translate&amp;Prices&amp;Logo'!$B$143</f>
        <v>0</v>
      </c>
      <c r="U27">
        <f>'Translate&amp;Prices&amp;Logo'!$B$146</f>
        <v>0</v>
      </c>
      <c r="V27">
        <f>'Translate&amp;Prices&amp;Logo'!$B$146</f>
        <v>0</v>
      </c>
      <c r="AF27" t="s">
        <v>245</v>
      </c>
      <c r="AG27" t="s">
        <v>2035</v>
      </c>
      <c r="BY27">
        <v>10</v>
      </c>
      <c r="DG27" t="s">
        <v>2126</v>
      </c>
      <c r="DH27" t="s">
        <v>4325</v>
      </c>
      <c r="DI27" t="s">
        <v>2126</v>
      </c>
      <c r="DJ27" t="s">
        <v>4325</v>
      </c>
      <c r="DT27" t="s">
        <v>46</v>
      </c>
      <c r="DU27" t="s">
        <v>46</v>
      </c>
      <c r="DW27" t="s">
        <v>1591</v>
      </c>
      <c r="DX27" t="s">
        <v>2445</v>
      </c>
      <c r="ED27" t="s">
        <v>2897</v>
      </c>
      <c r="EE27" t="s">
        <v>2991</v>
      </c>
      <c r="ER27" t="s">
        <v>3433</v>
      </c>
      <c r="ES27" t="s">
        <v>3433</v>
      </c>
    </row>
    <row r="28" spans="1:160">
      <c r="A28" t="str">
        <f>'Translate&amp;Prices&amp;Logo'!B30</f>
        <v>Palio černá mat</v>
      </c>
      <c r="B28">
        <v>2</v>
      </c>
      <c r="C28" t="s">
        <v>1215</v>
      </c>
      <c r="D28">
        <v>0</v>
      </c>
      <c r="E28">
        <v>1</v>
      </c>
      <c r="Q28" t="str">
        <f>'Translate&amp;Prices&amp;Logo'!$B$126</f>
        <v>Lacobel RAL 1013 - maximální rozměr 2550 x 1605 mm</v>
      </c>
      <c r="R28" t="str">
        <f>'Translate&amp;Prices&amp;Logo'!$B$144</f>
        <v>Lacobel RAL 0667 - maximální rozměr 2550 x 1605 mm</v>
      </c>
      <c r="U28" t="str">
        <f>'Translate&amp;Prices&amp;Logo'!$B$147</f>
        <v>Lacobel RAL 1435 - maximální rozměr 2550 x 1605 mm</v>
      </c>
      <c r="V28" t="str">
        <f>'Translate&amp;Prices&amp;Logo'!$B$147</f>
        <v>Lacobel RAL 1435 - maximální rozměr 2550 x 1605 mm</v>
      </c>
      <c r="AA28" t="s">
        <v>3325</v>
      </c>
      <c r="AB28" t="s">
        <v>2068</v>
      </c>
      <c r="AF28" t="s">
        <v>246</v>
      </c>
      <c r="AG28" t="s">
        <v>2035</v>
      </c>
      <c r="DG28" t="s">
        <v>4322</v>
      </c>
      <c r="DH28" t="s">
        <v>2135</v>
      </c>
      <c r="DI28" t="s">
        <v>4322</v>
      </c>
      <c r="DJ28" t="s">
        <v>2135</v>
      </c>
      <c r="DT28" t="s">
        <v>56</v>
      </c>
      <c r="DU28" t="s">
        <v>56</v>
      </c>
      <c r="DW28" t="s">
        <v>2816</v>
      </c>
      <c r="DX28" t="s">
        <v>2817</v>
      </c>
      <c r="ED28" t="s">
        <v>2898</v>
      </c>
      <c r="EE28" t="s">
        <v>2992</v>
      </c>
      <c r="ER28" t="s">
        <v>4207</v>
      </c>
      <c r="ES28" t="s">
        <v>4207</v>
      </c>
    </row>
    <row r="29" spans="1:160">
      <c r="A29" t="str">
        <f>'Translate&amp;Prices&amp;Logo'!B31</f>
        <v>Pisa (elox.)</v>
      </c>
      <c r="B29">
        <v>2</v>
      </c>
      <c r="C29" t="s">
        <v>2054</v>
      </c>
      <c r="D29">
        <v>0</v>
      </c>
      <c r="Q29" t="str">
        <f>'Translate&amp;Prices&amp;Logo'!$B$127</f>
        <v>Lacobel RAL 1014 - maximální rozměr 2550 x 1605 mm</v>
      </c>
      <c r="R29" t="str">
        <f>'Translate&amp;Prices&amp;Logo'!$B$145</f>
        <v>Lacobel RAL 1164 - maximální rozměr 2550 x 1605 mm</v>
      </c>
      <c r="U29">
        <f>'Translate&amp;Prices&amp;Logo'!$B$148</f>
        <v>0</v>
      </c>
      <c r="V29">
        <f>'Translate&amp;Prices&amp;Logo'!$B$148</f>
        <v>0</v>
      </c>
      <c r="AA29" t="s">
        <v>2030</v>
      </c>
      <c r="AB29" t="s">
        <v>2029</v>
      </c>
      <c r="AC29">
        <v>1</v>
      </c>
      <c r="AD29">
        <v>0</v>
      </c>
      <c r="AF29" t="s">
        <v>245</v>
      </c>
      <c r="AG29" t="s">
        <v>2036</v>
      </c>
      <c r="DG29" t="s">
        <v>4323</v>
      </c>
      <c r="DH29" t="s">
        <v>4326</v>
      </c>
      <c r="DI29" t="s">
        <v>4323</v>
      </c>
      <c r="DJ29" t="s">
        <v>4326</v>
      </c>
      <c r="DT29" t="s">
        <v>60</v>
      </c>
      <c r="DU29" t="s">
        <v>60</v>
      </c>
      <c r="DW29" t="s">
        <v>1413</v>
      </c>
      <c r="DX29" t="s">
        <v>1001</v>
      </c>
      <c r="ED29" t="s">
        <v>2899</v>
      </c>
      <c r="EE29" t="s">
        <v>2993</v>
      </c>
      <c r="ER29" t="s">
        <v>4208</v>
      </c>
      <c r="ES29" t="s">
        <v>4208</v>
      </c>
    </row>
    <row r="30" spans="1:160">
      <c r="A30" t="str">
        <f>'Translate&amp;Prices&amp;Logo'!$B$58</f>
        <v>Pisa bílá lesk</v>
      </c>
      <c r="B30">
        <v>2</v>
      </c>
      <c r="C30" t="s">
        <v>2054</v>
      </c>
      <c r="D30">
        <v>0</v>
      </c>
      <c r="Q30" t="str">
        <f>'Translate&amp;Prices&amp;Logo'!$B$128</f>
        <v>Lacobel RAL 1015 - maximální rozměr 2550 x 1605 mm</v>
      </c>
      <c r="R30">
        <f>'Translate&amp;Prices&amp;Logo'!$B$146</f>
        <v>0</v>
      </c>
      <c r="U30" t="str">
        <f>'Translate&amp;Prices&amp;Logo'!$B$150</f>
        <v>Lacobel RAL 1604 - maximální rozměr 2550 x 1605 mm</v>
      </c>
      <c r="V30" t="str">
        <f>'Translate&amp;Prices&amp;Logo'!$B$150</f>
        <v>Lacobel RAL 1604 - maximální rozměr 2550 x 1605 mm</v>
      </c>
      <c r="AA30" t="s">
        <v>2030</v>
      </c>
      <c r="AB30" t="str">
        <f>CONCATENATE('Translate&amp;Prices&amp;Logo'!B664,"_K12")</f>
        <v>spodní_K12</v>
      </c>
      <c r="AC30">
        <v>1</v>
      </c>
      <c r="AD30">
        <v>0</v>
      </c>
      <c r="AF30" t="s">
        <v>246</v>
      </c>
      <c r="AG30" t="s">
        <v>2036</v>
      </c>
      <c r="DT30" t="s">
        <v>63</v>
      </c>
      <c r="DU30" t="s">
        <v>63</v>
      </c>
      <c r="DW30" t="s">
        <v>1002</v>
      </c>
      <c r="DX30" t="s">
        <v>1002</v>
      </c>
      <c r="ED30" t="s">
        <v>2900</v>
      </c>
      <c r="EE30" t="s">
        <v>2994</v>
      </c>
      <c r="ER30" t="s">
        <v>4209</v>
      </c>
      <c r="ES30" t="s">
        <v>4209</v>
      </c>
    </row>
    <row r="31" spans="1:160">
      <c r="A31" t="str">
        <f>'Translate&amp;Prices&amp;Logo'!$B$57</f>
        <v>Pisa bílá mat</v>
      </c>
      <c r="B31">
        <v>2</v>
      </c>
      <c r="C31" t="s">
        <v>2054</v>
      </c>
      <c r="D31">
        <v>0</v>
      </c>
      <c r="Q31" t="str">
        <f>'Translate&amp;Prices&amp;Logo'!$B$129</f>
        <v>Lacobel RAL 2001 - maximální rozměr 2550 x 1605 mm</v>
      </c>
      <c r="R31" t="str">
        <f>'Translate&amp;Prices&amp;Logo'!$B$147</f>
        <v>Lacobel RAL 1435 - maximální rozměr 2550 x 1605 mm</v>
      </c>
      <c r="U31" t="str">
        <f>'Translate&amp;Prices&amp;Logo'!$B$152</f>
        <v>Matelac RAL 3004 - maximální rozměr 2550 x 1605 mm</v>
      </c>
      <c r="V31" t="str">
        <f>'Translate&amp;Prices&amp;Logo'!$B$152</f>
        <v>Matelac RAL 3004 - maximální rozměr 2550 x 1605 mm</v>
      </c>
      <c r="AA31" t="s">
        <v>2030</v>
      </c>
      <c r="AB31" t="s">
        <v>2032</v>
      </c>
      <c r="AC31">
        <v>1</v>
      </c>
      <c r="AD31">
        <v>0</v>
      </c>
      <c r="AF31" t="s">
        <v>245</v>
      </c>
      <c r="AG31" t="s">
        <v>2037</v>
      </c>
      <c r="DT31" t="s">
        <v>65</v>
      </c>
      <c r="DU31" t="s">
        <v>65</v>
      </c>
      <c r="DW31" t="s">
        <v>2041</v>
      </c>
      <c r="DX31" t="s">
        <v>2446</v>
      </c>
      <c r="ED31" t="s">
        <v>2901</v>
      </c>
      <c r="EE31" t="s">
        <v>2995</v>
      </c>
      <c r="ER31" t="s">
        <v>4210</v>
      </c>
      <c r="ES31" t="s">
        <v>4210</v>
      </c>
    </row>
    <row r="32" spans="1:160">
      <c r="A32" t="str">
        <f>'Translate&amp;Prices&amp;Logo'!B32</f>
        <v>Pisa černá mat</v>
      </c>
      <c r="B32">
        <v>2</v>
      </c>
      <c r="C32" t="s">
        <v>2054</v>
      </c>
      <c r="D32">
        <v>0</v>
      </c>
      <c r="Q32" t="str">
        <f>'Translate&amp;Prices&amp;Logo'!$B$130</f>
        <v>Lacobel RAL 3004 - maximální rozměr 2550 x 1605 mm</v>
      </c>
      <c r="R32">
        <f>'Translate&amp;Prices&amp;Logo'!$B$148</f>
        <v>0</v>
      </c>
      <c r="U32" t="str">
        <f>'Translate&amp;Prices&amp;Logo'!$B$153</f>
        <v>Matelac RAL 7021 - maximální rozměr 2550 x 1605 mm</v>
      </c>
      <c r="V32" t="str">
        <f>'Translate&amp;Prices&amp;Logo'!$B$153</f>
        <v>Matelac RAL 7021 - maximální rozměr 2550 x 1605 mm</v>
      </c>
      <c r="AA32" t="s">
        <v>2030</v>
      </c>
      <c r="AB32" t="str">
        <f>CONCATENATE('Translate&amp;Prices&amp;Logo'!B664,"_kraby")</f>
        <v>spodní_kraby</v>
      </c>
      <c r="AC32">
        <v>1</v>
      </c>
      <c r="AD32">
        <v>0</v>
      </c>
      <c r="AF32" t="s">
        <v>246</v>
      </c>
      <c r="AG32" t="s">
        <v>2037</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DT32" t="s">
        <v>64</v>
      </c>
      <c r="DU32" t="s">
        <v>64</v>
      </c>
      <c r="DW32" t="s">
        <v>1003</v>
      </c>
      <c r="DX32" t="s">
        <v>1003</v>
      </c>
      <c r="ED32" t="s">
        <v>2902</v>
      </c>
      <c r="EE32" t="s">
        <v>2996</v>
      </c>
      <c r="ER32" t="s">
        <v>4211</v>
      </c>
      <c r="ES32" t="s">
        <v>4211</v>
      </c>
    </row>
    <row r="33" spans="1:149">
      <c r="A33" t="str">
        <f>'Translate&amp;Prices&amp;Logo'!$B$63</f>
        <v>Pisa zlatá</v>
      </c>
      <c r="B33">
        <v>2</v>
      </c>
      <c r="C33" t="s">
        <v>2054</v>
      </c>
      <c r="D33">
        <v>0</v>
      </c>
      <c r="E33">
        <v>1</v>
      </c>
      <c r="Q33" t="str">
        <f>'Translate&amp;Prices&amp;Logo'!$B$131</f>
        <v>Lacobel RAL 4006 - maximální rozměr 2550 x 1605 mm</v>
      </c>
      <c r="R33" t="str">
        <f>'Translate&amp;Prices&amp;Logo'!$B$150</f>
        <v>Lacobel RAL 1604 - maximální rozměr 2550 x 1605 mm</v>
      </c>
      <c r="U33" t="str">
        <f>'Translate&amp;Prices&amp;Logo'!$B$154</f>
        <v>Matelac RAL 9003 - maximální rozměr 2550 x 1605 mm</v>
      </c>
      <c r="V33" t="str">
        <f>'Translate&amp;Prices&amp;Logo'!$B$154</f>
        <v>Matelac RAL 9003 - maximální rozměr 2550 x 1605 mm</v>
      </c>
      <c r="AA33" t="s">
        <v>2030</v>
      </c>
      <c r="AB33" t="s">
        <v>2034</v>
      </c>
      <c r="AC33">
        <v>1</v>
      </c>
      <c r="AD33">
        <v>0</v>
      </c>
      <c r="AF33" t="s">
        <v>245</v>
      </c>
      <c r="AG33" t="s">
        <v>2040</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DT33" t="s">
        <v>1006</v>
      </c>
      <c r="DU33" t="s">
        <v>1006</v>
      </c>
      <c r="DW33" t="s">
        <v>1414</v>
      </c>
      <c r="DX33" t="s">
        <v>2447</v>
      </c>
      <c r="ED33" t="s">
        <v>2903</v>
      </c>
      <c r="EE33" t="s">
        <v>2997</v>
      </c>
      <c r="ER33" t="s">
        <v>4212</v>
      </c>
      <c r="ES33" t="s">
        <v>4212</v>
      </c>
    </row>
    <row r="34" spans="1:149">
      <c r="Q34" t="str">
        <f>'Translate&amp;Prices&amp;Logo'!$B$132</f>
        <v>Lacobel RAL 5002 - maximální rozměr 2550 x 1605 mm</v>
      </c>
      <c r="R34" t="str">
        <f>'Translate&amp;Prices&amp;Logo'!$B$152</f>
        <v>Matelac RAL 3004 - maximální rozměr 2550 x 1605 mm</v>
      </c>
      <c r="U34" t="str">
        <f>'Translate&amp;Prices&amp;Logo'!$B$155</f>
        <v>Matelac RAL 9005 - maximální rozměr 2550 x 1605 mm</v>
      </c>
      <c r="V34" t="str">
        <f>'Translate&amp;Prices&amp;Logo'!$B$155</f>
        <v>Matelac RAL 9005 - maximální rozměr 2550 x 1605 mm</v>
      </c>
      <c r="AB34" t="s">
        <v>2035</v>
      </c>
      <c r="AC34">
        <v>1</v>
      </c>
      <c r="AD34">
        <v>0</v>
      </c>
      <c r="AF34" t="s">
        <v>246</v>
      </c>
      <c r="AG34" t="s">
        <v>2040</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DT34" t="s">
        <v>47</v>
      </c>
      <c r="DU34" t="s">
        <v>47</v>
      </c>
      <c r="DW34" t="s">
        <v>689</v>
      </c>
      <c r="DX34" t="s">
        <v>691</v>
      </c>
      <c r="ED34" t="s">
        <v>2904</v>
      </c>
      <c r="EE34" t="s">
        <v>2998</v>
      </c>
      <c r="ER34" t="s">
        <v>3434</v>
      </c>
      <c r="ES34" t="s">
        <v>3434</v>
      </c>
    </row>
    <row r="35" spans="1:149">
      <c r="A35" t="str">
        <f>'Translate&amp;Prices&amp;Logo'!$B$54</f>
        <v>Rocca (elox.)</v>
      </c>
      <c r="B35">
        <v>1</v>
      </c>
      <c r="C35" t="s">
        <v>1215</v>
      </c>
      <c r="D35">
        <v>0</v>
      </c>
      <c r="Q35" t="str">
        <f>'Translate&amp;Prices&amp;Logo'!$B$133</f>
        <v>Lacobel RAL 7035 - maximální rozměr 2550 x 1605 mm</v>
      </c>
      <c r="R35" t="str">
        <f>'Translate&amp;Prices&amp;Logo'!$B$154</f>
        <v>Matelac RAL 9003 - maximální rozměr 2550 x 1605 mm</v>
      </c>
      <c r="U35" t="str">
        <f>'Translate&amp;Prices&amp;Logo'!$B$156</f>
        <v>Matelac RAL 9006 - maximální rozměr 2550 x 1605 mm</v>
      </c>
      <c r="V35" t="str">
        <f>'Translate&amp;Prices&amp;Logo'!$B$156</f>
        <v>Matelac RAL 9006 - maximální rozměr 2550 x 1605 mm</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DT35" t="s">
        <v>74</v>
      </c>
      <c r="DU35" t="s">
        <v>74</v>
      </c>
      <c r="DW35" t="s">
        <v>1575</v>
      </c>
      <c r="DX35" t="s">
        <v>2448</v>
      </c>
      <c r="ED35" t="s">
        <v>2905</v>
      </c>
      <c r="EE35" t="s">
        <v>2999</v>
      </c>
      <c r="ER35" t="s">
        <v>3435</v>
      </c>
      <c r="ES35" t="s">
        <v>3435</v>
      </c>
    </row>
    <row r="36" spans="1:149">
      <c r="Q36" t="str">
        <f>'Translate&amp;Prices&amp;Logo'!$B$134</f>
        <v>Lacobel RAL 8017 - maximální rozměr 2550 x 1605 mm</v>
      </c>
      <c r="R36" t="str">
        <f>'Translate&amp;Prices&amp;Logo'!$B$155</f>
        <v>Matelac RAL 9005 - maximální rozměr 2550 x 1605 mm</v>
      </c>
      <c r="U36" t="str">
        <f>'Translate&amp;Prices&amp;Logo'!$B$158</f>
        <v>Matelac RAL 1435 - maximální rozměr 2550 x 1605 mm</v>
      </c>
      <c r="V36" t="str">
        <f>'Translate&amp;Prices&amp;Logo'!$B$158</f>
        <v>Matelac RAL 1435 - maximální rozměr 2550 x 1605 mm</v>
      </c>
      <c r="DT36" t="s">
        <v>76</v>
      </c>
      <c r="DU36" t="s">
        <v>76</v>
      </c>
      <c r="DW36" t="s">
        <v>1415</v>
      </c>
      <c r="DX36" t="s">
        <v>1416</v>
      </c>
      <c r="ED36" t="s">
        <v>2844</v>
      </c>
      <c r="EE36" t="s">
        <v>3000</v>
      </c>
      <c r="ER36" t="s">
        <v>3436</v>
      </c>
      <c r="ES36" t="s">
        <v>3436</v>
      </c>
    </row>
    <row r="37" spans="1:149">
      <c r="A37" t="str">
        <f>'Translate&amp;Prices&amp;Logo'!B46</f>
        <v>Rocca černá mat</v>
      </c>
      <c r="B37">
        <v>1</v>
      </c>
      <c r="C37" t="s">
        <v>1215</v>
      </c>
      <c r="D37">
        <v>0</v>
      </c>
      <c r="Q37" t="str">
        <f>'Translate&amp;Prices&amp;Logo'!$B$135</f>
        <v>Lacobel RAL 9003 - maximální rozměr 2550 x 1605 mm</v>
      </c>
      <c r="R37" t="str">
        <f>'Translate&amp;Prices&amp;Logo'!$B$156</f>
        <v>Matelac RAL 9006 - maximální rozměr 2550 x 1605 mm</v>
      </c>
      <c r="U37" t="str">
        <f>'Translate&amp;Prices&amp;Logo'!$B$159</f>
        <v>Matelac RAL 1586 - maximální rozměr 2550 x 1605 mm</v>
      </c>
      <c r="V37" t="str">
        <f>'Translate&amp;Prices&amp;Logo'!$B$159</f>
        <v>Matelac RAL 1586 - maximální rozměr 2550 x 1605 mm</v>
      </c>
      <c r="BY37" t="s">
        <v>2499</v>
      </c>
      <c r="DT37" t="s">
        <v>72</v>
      </c>
      <c r="DU37" t="s">
        <v>72</v>
      </c>
      <c r="DW37" t="s">
        <v>686</v>
      </c>
      <c r="DX37" t="s">
        <v>2449</v>
      </c>
      <c r="ED37" t="s">
        <v>2845</v>
      </c>
      <c r="EE37" t="s">
        <v>3001</v>
      </c>
      <c r="ER37" t="s">
        <v>3479</v>
      </c>
      <c r="ES37" t="s">
        <v>3479</v>
      </c>
    </row>
    <row r="38" spans="1:149">
      <c r="A38" t="str">
        <f>'Translate&amp;Prices&amp;Logo'!B35</f>
        <v>Siena (elox.)</v>
      </c>
      <c r="B38">
        <v>2</v>
      </c>
      <c r="C38" t="s">
        <v>1215</v>
      </c>
      <c r="D38">
        <v>0</v>
      </c>
      <c r="Q38" t="str">
        <f>'Translate&amp;Prices&amp;Logo'!$B$136</f>
        <v>Lacobel RAL 9005 - maximální rozměr 2550 x 1605 mm</v>
      </c>
      <c r="R38" t="str">
        <f>'Translate&amp;Prices&amp;Logo'!$B$158</f>
        <v>Matelac RAL 1435 - maximální rozměr 2550 x 1605 mm</v>
      </c>
      <c r="U38" t="str">
        <f>'Translate&amp;Prices&amp;Logo'!$B$160</f>
        <v>Matelac zrcadlo bronz - maximální rozměr 2550 x 1605 mm</v>
      </c>
      <c r="V38" t="str">
        <f>'Translate&amp;Prices&amp;Logo'!$B$160</f>
        <v>Matelac zrcadlo bronz - maximální rozměr 2550 x 1605 mm</v>
      </c>
      <c r="DT38" t="s">
        <v>69</v>
      </c>
      <c r="DU38" t="s">
        <v>69</v>
      </c>
      <c r="DW38" t="s">
        <v>1418</v>
      </c>
      <c r="DX38" t="s">
        <v>2450</v>
      </c>
      <c r="ED38" t="s">
        <v>2846</v>
      </c>
      <c r="EE38" t="s">
        <v>3002</v>
      </c>
      <c r="ER38" t="s">
        <v>3479</v>
      </c>
      <c r="ES38" t="s">
        <v>3479</v>
      </c>
    </row>
    <row r="39" spans="1:149">
      <c r="A39" t="str">
        <f>'Translate&amp;Prices&amp;Logo'!$B$36</f>
        <v>Siena černá mat</v>
      </c>
      <c r="B39">
        <v>2</v>
      </c>
      <c r="C39" t="s">
        <v>1215</v>
      </c>
      <c r="D39">
        <v>0</v>
      </c>
      <c r="Q39" t="str">
        <f>'Translate&amp;Prices&amp;Logo'!$B$137</f>
        <v>Lacobel RAL 9006 - maximální rozměr 2550 x 1605 mm</v>
      </c>
      <c r="R39" t="str">
        <f>'Translate&amp;Prices&amp;Logo'!$B$159</f>
        <v>Matelac RAL 1586 - maximální rozměr 2550 x 1605 mm</v>
      </c>
      <c r="U39" t="str">
        <f>'Translate&amp;Prices&amp;Logo'!$B$162</f>
        <v>Matelac zrcadlo grafit - maximální rozměr 2550 x 1605 mm</v>
      </c>
      <c r="V39" t="str">
        <f>'Translate&amp;Prices&amp;Logo'!$B$162</f>
        <v>Matelac zrcadlo grafit - maximální rozměr 2550 x 1605 mm</v>
      </c>
      <c r="AA39" t="s">
        <v>4250</v>
      </c>
      <c r="AB39" t="s">
        <v>4248</v>
      </c>
      <c r="DT39" t="s">
        <v>73</v>
      </c>
      <c r="DU39" t="s">
        <v>73</v>
      </c>
      <c r="DW39" t="s">
        <v>1419</v>
      </c>
      <c r="DX39" t="s">
        <v>2451</v>
      </c>
      <c r="ED39" t="s">
        <v>2847</v>
      </c>
      <c r="EE39" t="s">
        <v>3003</v>
      </c>
      <c r="ER39" t="s">
        <v>3479</v>
      </c>
      <c r="ES39" t="s">
        <v>3479</v>
      </c>
    </row>
    <row r="40" spans="1:149">
      <c r="A40" t="str">
        <f>'Translate&amp;Prices&amp;Logo'!B37</f>
        <v>Verona (elox.)</v>
      </c>
      <c r="B40">
        <v>1</v>
      </c>
      <c r="C40" t="s">
        <v>1215</v>
      </c>
      <c r="D40">
        <v>0</v>
      </c>
      <c r="Q40" t="str">
        <f>'Translate&amp;Prices&amp;Logo'!$B$138</f>
        <v>Lacobel RAL 9007 - maximální rozměr 2550 x 1605 mm</v>
      </c>
      <c r="R40" t="str">
        <f>'Translate&amp;Prices&amp;Logo'!$B$160</f>
        <v>Matelac zrcadlo bronz - maximální rozměr 2550 x 1605 mm</v>
      </c>
      <c r="U40" t="str">
        <f>'Translate&amp;Prices&amp;Logo'!$B$163</f>
        <v>Matelac zrcadlo stříbr. - maximální rozměr 2550 x 1605 mm</v>
      </c>
      <c r="V40" t="str">
        <f>'Translate&amp;Prices&amp;Logo'!$B$163</f>
        <v>Matelac zrcadlo stříbr. - maximální rozměr 2550 x 1605 mm</v>
      </c>
      <c r="AA40" t="s">
        <v>4250</v>
      </c>
      <c r="AB40" t="str">
        <f>'Translate&amp;Prices&amp;Logo'!B659</f>
        <v>StrongLift_horní</v>
      </c>
      <c r="AC40">
        <v>1</v>
      </c>
      <c r="AD40">
        <v>0</v>
      </c>
      <c r="DT40" t="s">
        <v>71</v>
      </c>
      <c r="DU40" t="s">
        <v>71</v>
      </c>
      <c r="DW40" t="s">
        <v>3317</v>
      </c>
      <c r="DX40" t="s">
        <v>3317</v>
      </c>
      <c r="ED40" t="s">
        <v>2848</v>
      </c>
      <c r="EE40" t="s">
        <v>3004</v>
      </c>
      <c r="ER40" t="s">
        <v>3479</v>
      </c>
      <c r="ES40" t="s">
        <v>3479</v>
      </c>
    </row>
    <row r="41" spans="1:149">
      <c r="A41" t="str">
        <f>'Translate&amp;Prices&amp;Logo'!B38</f>
        <v>Verona broušený hliník</v>
      </c>
      <c r="B41">
        <v>1</v>
      </c>
      <c r="C41" t="s">
        <v>1215</v>
      </c>
      <c r="D41">
        <v>0</v>
      </c>
      <c r="Q41" t="str">
        <f>'Translate&amp;Prices&amp;Logo'!$B$139</f>
        <v>Lacobel RAL 9010 - maximální rozměr 2550 x 1605 mm</v>
      </c>
      <c r="R41" t="str">
        <f>'Translate&amp;Prices&amp;Logo'!$B$162</f>
        <v>Matelac zrcadlo grafit - maximální rozměr 2550 x 1605 mm</v>
      </c>
      <c r="AB41" t="str">
        <f>'Translate&amp;Prices&amp;Logo'!B660</f>
        <v>StrongLift_spodní</v>
      </c>
      <c r="AC41">
        <v>1</v>
      </c>
      <c r="AD41">
        <v>0</v>
      </c>
      <c r="DT41" t="s">
        <v>70</v>
      </c>
      <c r="DU41" t="s">
        <v>70</v>
      </c>
      <c r="DW41" t="s">
        <v>3318</v>
      </c>
      <c r="DX41" t="s">
        <v>3320</v>
      </c>
      <c r="ED41" t="s">
        <v>2849</v>
      </c>
      <c r="EE41" t="s">
        <v>3005</v>
      </c>
      <c r="ER41" t="s">
        <v>3480</v>
      </c>
      <c r="ES41" t="s">
        <v>3480</v>
      </c>
    </row>
    <row r="42" spans="1:149">
      <c r="A42" t="str">
        <f>'Translate&amp;Prices&amp;Logo'!B40</f>
        <v>Verona černá mat</v>
      </c>
      <c r="B42">
        <v>1</v>
      </c>
      <c r="C42" t="s">
        <v>1215</v>
      </c>
      <c r="D42">
        <v>0</v>
      </c>
      <c r="Q42" t="str">
        <f>'Translate&amp;Prices&amp;Logo'!$B$140</f>
        <v>Lacobel RAL 0128 - maximální rozměr 2550 x 1605 mm</v>
      </c>
      <c r="R42" t="str">
        <f>'Translate&amp;Prices&amp;Logo'!$B$163</f>
        <v>Matelac zrcadlo stříbr. - maximální rozměr 2550 x 1605 mm</v>
      </c>
      <c r="AA42" t="s">
        <v>3326</v>
      </c>
      <c r="AB42" t="s">
        <v>2067</v>
      </c>
      <c r="DT42" t="s">
        <v>82</v>
      </c>
      <c r="DU42" t="s">
        <v>539</v>
      </c>
      <c r="DW42" t="s">
        <v>1004</v>
      </c>
      <c r="DX42" t="s">
        <v>1004</v>
      </c>
      <c r="ED42" t="s">
        <v>2850</v>
      </c>
      <c r="EE42" t="s">
        <v>3006</v>
      </c>
      <c r="ER42" t="s">
        <v>3480</v>
      </c>
      <c r="ES42" t="s">
        <v>3480</v>
      </c>
    </row>
    <row r="43" spans="1:149">
      <c r="A43" t="str">
        <f>'Translate&amp;Prices&amp;Logo'!$B$39</f>
        <v>Verona černá lesk</v>
      </c>
      <c r="B43">
        <v>1</v>
      </c>
      <c r="C43" t="s">
        <v>1215</v>
      </c>
      <c r="D43">
        <v>0</v>
      </c>
      <c r="Q43" t="str">
        <f>'Translate&amp;Prices&amp;Logo'!$B$141</f>
        <v>Lacobel RAL 0327 - maximální rozměr 2550 x 1605 mm</v>
      </c>
      <c r="AA43" t="s">
        <v>2038</v>
      </c>
      <c r="AB43" t="s">
        <v>2188</v>
      </c>
      <c r="AC43">
        <v>0</v>
      </c>
      <c r="AD43">
        <v>0</v>
      </c>
      <c r="DT43" t="s">
        <v>84</v>
      </c>
      <c r="DU43" t="s">
        <v>541</v>
      </c>
      <c r="DW43" t="s">
        <v>1583</v>
      </c>
      <c r="DX43" t="s">
        <v>2452</v>
      </c>
      <c r="ED43" t="s">
        <v>2851</v>
      </c>
      <c r="EE43" t="s">
        <v>3007</v>
      </c>
      <c r="ER43" t="s">
        <v>3481</v>
      </c>
      <c r="ES43" t="s">
        <v>3481</v>
      </c>
    </row>
    <row r="44" spans="1:149">
      <c r="A44" t="str">
        <f>'Translate&amp;Prices&amp;Logo'!B41</f>
        <v>Verona hnědá</v>
      </c>
      <c r="B44">
        <v>1</v>
      </c>
      <c r="C44" t="s">
        <v>1215</v>
      </c>
      <c r="D44">
        <v>0</v>
      </c>
      <c r="Q44">
        <f>'Translate&amp;Prices&amp;Logo'!$B$142</f>
        <v>0</v>
      </c>
      <c r="AA44" t="s">
        <v>2038</v>
      </c>
      <c r="AB44" t="s">
        <v>2040</v>
      </c>
      <c r="AC44">
        <v>1</v>
      </c>
      <c r="AD44">
        <v>0</v>
      </c>
      <c r="DT44" t="s">
        <v>83</v>
      </c>
      <c r="DU44" t="s">
        <v>1664</v>
      </c>
      <c r="DW44" t="s">
        <v>2820</v>
      </c>
      <c r="DX44" t="s">
        <v>2821</v>
      </c>
      <c r="ED44" t="s">
        <v>2852</v>
      </c>
      <c r="EE44" t="s">
        <v>3008</v>
      </c>
      <c r="ER44" t="s">
        <v>3481</v>
      </c>
      <c r="ES44" t="s">
        <v>3481</v>
      </c>
    </row>
    <row r="45" spans="1:149">
      <c r="A45" t="str">
        <f>'Translate&amp;Prices&amp;Logo'!B42</f>
        <v>Verona champagne</v>
      </c>
      <c r="B45">
        <v>1</v>
      </c>
      <c r="C45" t="s">
        <v>1215</v>
      </c>
      <c r="D45">
        <v>0</v>
      </c>
      <c r="Q45">
        <f>'Translate&amp;Prices&amp;Logo'!$B$143</f>
        <v>0</v>
      </c>
      <c r="AB45" t="s">
        <v>2189</v>
      </c>
      <c r="AC45">
        <v>0</v>
      </c>
      <c r="AD45">
        <v>0</v>
      </c>
      <c r="DT45" t="s">
        <v>711</v>
      </c>
      <c r="DU45" t="s">
        <v>712</v>
      </c>
      <c r="DW45" t="s">
        <v>1423</v>
      </c>
      <c r="DX45" t="s">
        <v>2453</v>
      </c>
      <c r="ED45" t="s">
        <v>2853</v>
      </c>
      <c r="EE45" t="s">
        <v>3009</v>
      </c>
      <c r="ER45" t="s">
        <v>3482</v>
      </c>
      <c r="ES45" t="s">
        <v>3482</v>
      </c>
    </row>
    <row r="46" spans="1:149">
      <c r="A46" t="str">
        <f>'Translate&amp;Prices&amp;Logo'!B43</f>
        <v>Verona tmavá nerez broušená</v>
      </c>
      <c r="B46">
        <v>1</v>
      </c>
      <c r="C46" t="s">
        <v>1215</v>
      </c>
      <c r="D46">
        <v>0</v>
      </c>
      <c r="Q46" t="str">
        <f>'Translate&amp;Prices&amp;Logo'!$B$144</f>
        <v>Lacobel RAL 0667 - maximální rozměr 2550 x 1605 mm</v>
      </c>
      <c r="DT46" t="s">
        <v>715</v>
      </c>
      <c r="DU46" t="s">
        <v>715</v>
      </c>
      <c r="DW46" t="s">
        <v>1623</v>
      </c>
      <c r="DX46" t="s">
        <v>2454</v>
      </c>
      <c r="ED46" t="s">
        <v>2854</v>
      </c>
      <c r="EE46" t="s">
        <v>3010</v>
      </c>
      <c r="ER46" t="s">
        <v>3482</v>
      </c>
      <c r="ES46" t="s">
        <v>3482</v>
      </c>
    </row>
    <row r="47" spans="1:149">
      <c r="A47" t="str">
        <f>'Translate&amp;Prices&amp;Logo'!B44</f>
        <v>Verona světlá nerez (Acier grata)</v>
      </c>
      <c r="B47">
        <v>1</v>
      </c>
      <c r="C47" t="s">
        <v>1215</v>
      </c>
      <c r="D47">
        <v>0</v>
      </c>
      <c r="Q47" t="str">
        <f>'Translate&amp;Prices&amp;Logo'!$B$145</f>
        <v>Lacobel RAL 1164 - maximální rozměr 2550 x 1605 mm</v>
      </c>
      <c r="DT47" t="s">
        <v>1653</v>
      </c>
      <c r="DU47" t="s">
        <v>1656</v>
      </c>
      <c r="DW47" t="s">
        <v>1627</v>
      </c>
      <c r="DX47" t="s">
        <v>2455</v>
      </c>
      <c r="ED47" t="s">
        <v>2855</v>
      </c>
      <c r="EE47" t="s">
        <v>3011</v>
      </c>
      <c r="ER47" t="s">
        <v>3482</v>
      </c>
      <c r="ES47" t="s">
        <v>3482</v>
      </c>
    </row>
    <row r="48" spans="1:149">
      <c r="A48" t="str">
        <f>'Translate&amp;Prices&amp;Logo'!$B$26</f>
        <v>Verona zlatá</v>
      </c>
      <c r="B48">
        <v>1</v>
      </c>
      <c r="C48" t="s">
        <v>1215</v>
      </c>
      <c r="D48">
        <v>0</v>
      </c>
      <c r="E48">
        <v>1</v>
      </c>
      <c r="Q48">
        <f>'Translate&amp;Prices&amp;Logo'!$B$146</f>
        <v>0</v>
      </c>
      <c r="DT48" t="s">
        <v>1425</v>
      </c>
      <c r="DU48" t="s">
        <v>1425</v>
      </c>
      <c r="DW48" t="s">
        <v>3465</v>
      </c>
      <c r="DX48" t="s">
        <v>2352</v>
      </c>
      <c r="ED48" t="s">
        <v>2856</v>
      </c>
      <c r="EE48" t="s">
        <v>3012</v>
      </c>
      <c r="ER48" t="s">
        <v>3482</v>
      </c>
      <c r="ES48" t="s">
        <v>3482</v>
      </c>
    </row>
    <row r="49" spans="1:149">
      <c r="A49" t="str">
        <f>'Translate&amp;Prices&amp;Logo'!$B$61</f>
        <v>Verona zlatá broušená</v>
      </c>
      <c r="B49">
        <v>1</v>
      </c>
      <c r="C49" t="s">
        <v>1215</v>
      </c>
      <c r="D49">
        <v>0</v>
      </c>
      <c r="E49">
        <v>1</v>
      </c>
      <c r="Q49" t="str">
        <f>'Translate&amp;Prices&amp;Logo'!$B$147</f>
        <v>Lacobel RAL 1435 - maximální rozměr 2550 x 1605 mm</v>
      </c>
      <c r="AA49" t="s">
        <v>3327</v>
      </c>
      <c r="AB49" t="s">
        <v>3329</v>
      </c>
      <c r="DT49" t="s">
        <v>1426</v>
      </c>
      <c r="DU49" t="s">
        <v>1426</v>
      </c>
      <c r="DW49" t="s">
        <v>3466</v>
      </c>
      <c r="DX49" t="s">
        <v>707</v>
      </c>
      <c r="ED49" t="s">
        <v>2857</v>
      </c>
      <c r="EE49" t="s">
        <v>3013</v>
      </c>
      <c r="ER49" t="s">
        <v>3483</v>
      </c>
      <c r="ES49" t="s">
        <v>3483</v>
      </c>
    </row>
    <row r="50" spans="1:149">
      <c r="A50" t="str">
        <f>'Translate&amp;Prices&amp;Logo'!B47</f>
        <v>Vivaro (elox.)</v>
      </c>
      <c r="B50">
        <v>2</v>
      </c>
      <c r="C50" t="s">
        <v>1215</v>
      </c>
      <c r="D50">
        <v>1</v>
      </c>
      <c r="Q50">
        <f>'Translate&amp;Prices&amp;Logo'!$B$148</f>
        <v>0</v>
      </c>
      <c r="AB50" t="s">
        <v>3782</v>
      </c>
      <c r="AC50">
        <v>0</v>
      </c>
      <c r="AD50">
        <v>0</v>
      </c>
      <c r="DT50" t="s">
        <v>1427</v>
      </c>
      <c r="DU50" t="s">
        <v>1427</v>
      </c>
      <c r="DW50" t="s">
        <v>2314</v>
      </c>
      <c r="DX50" t="s">
        <v>2314</v>
      </c>
      <c r="ED50" t="s">
        <v>2858</v>
      </c>
      <c r="EE50" t="s">
        <v>3014</v>
      </c>
      <c r="ER50" t="s">
        <v>3483</v>
      </c>
      <c r="ES50" t="s">
        <v>3483</v>
      </c>
    </row>
    <row r="51" spans="1:149">
      <c r="A51" t="str">
        <f>'Translate&amp;Prices&amp;Logo'!B48</f>
        <v>Vivaro černá mat</v>
      </c>
      <c r="B51">
        <v>2</v>
      </c>
      <c r="C51" t="s">
        <v>1215</v>
      </c>
      <c r="D51">
        <v>1</v>
      </c>
      <c r="Q51" t="str">
        <f>'Translate&amp;Prices&amp;Logo'!$B$149</f>
        <v>Lacobel RAL 1603 - maximální rozměr 2550 x 1605 mm</v>
      </c>
      <c r="AB51" t="s">
        <v>3784</v>
      </c>
      <c r="AC51">
        <v>0</v>
      </c>
      <c r="AD51">
        <v>0</v>
      </c>
      <c r="DT51" t="s">
        <v>1428</v>
      </c>
      <c r="DU51" t="s">
        <v>1657</v>
      </c>
      <c r="DW51" t="s">
        <v>3318</v>
      </c>
      <c r="DX51" t="s">
        <v>2355</v>
      </c>
      <c r="ED51" t="s">
        <v>2859</v>
      </c>
      <c r="EE51" t="s">
        <v>3015</v>
      </c>
      <c r="ER51" t="s">
        <v>3483</v>
      </c>
      <c r="ES51" t="s">
        <v>3483</v>
      </c>
    </row>
    <row r="52" spans="1:149">
      <c r="A52" t="str">
        <f>'Translate&amp;Prices&amp;Logo'!B50</f>
        <v>Vivaro tmavá nerez br. (inox lija)</v>
      </c>
      <c r="B52">
        <v>2</v>
      </c>
      <c r="C52" t="s">
        <v>1215</v>
      </c>
      <c r="D52">
        <v>0</v>
      </c>
      <c r="Q52" t="str">
        <f>'Translate&amp;Prices&amp;Logo'!$B$150</f>
        <v>Lacobel RAL 1604 - maximální rozměr 2550 x 1605 mm</v>
      </c>
      <c r="AB52" t="s">
        <v>3779</v>
      </c>
      <c r="AC52">
        <v>0</v>
      </c>
      <c r="AD52">
        <v>0</v>
      </c>
      <c r="DT52" t="s">
        <v>716</v>
      </c>
      <c r="DU52" t="s">
        <v>716</v>
      </c>
      <c r="DW52" t="s">
        <v>3356</v>
      </c>
      <c r="DX52" t="s">
        <v>3358</v>
      </c>
      <c r="ED52" t="s">
        <v>2860</v>
      </c>
      <c r="EE52" t="s">
        <v>3016</v>
      </c>
      <c r="ER52" t="s">
        <v>3484</v>
      </c>
      <c r="ES52" t="s">
        <v>3484</v>
      </c>
    </row>
    <row r="53" spans="1:149">
      <c r="A53" t="str">
        <f>'Translate&amp;Prices&amp;Logo'!B51</f>
        <v>Vivaro bílá mat</v>
      </c>
      <c r="B53">
        <v>2</v>
      </c>
      <c r="C53" t="s">
        <v>1215</v>
      </c>
      <c r="D53">
        <v>0</v>
      </c>
      <c r="Q53" t="str">
        <f>'Translate&amp;Prices&amp;Logo'!$B$152</f>
        <v>Matelac RAL 3004 - maximální rozměr 2550 x 1605 mm</v>
      </c>
      <c r="AB53" t="s">
        <v>3780</v>
      </c>
      <c r="AC53">
        <v>0</v>
      </c>
      <c r="AD53">
        <v>0</v>
      </c>
      <c r="DT53" t="s">
        <v>726</v>
      </c>
      <c r="DU53" t="s">
        <v>2456</v>
      </c>
      <c r="DW53" t="s">
        <v>3155</v>
      </c>
      <c r="DX53" t="s">
        <v>3157</v>
      </c>
      <c r="ED53" t="s">
        <v>2861</v>
      </c>
      <c r="EE53" t="s">
        <v>3017</v>
      </c>
      <c r="ER53" t="s">
        <v>3484</v>
      </c>
      <c r="ES53" t="s">
        <v>3484</v>
      </c>
    </row>
    <row r="54" spans="1:149">
      <c r="A54" t="str">
        <f>'Translate&amp;Prices&amp;Logo'!B52</f>
        <v>Vivaro bílá lesk</v>
      </c>
      <c r="B54">
        <v>2</v>
      </c>
      <c r="C54" t="s">
        <v>1215</v>
      </c>
      <c r="D54">
        <v>0</v>
      </c>
      <c r="Q54" t="str">
        <f>'Translate&amp;Prices&amp;Logo'!$B$153</f>
        <v>Matelac RAL 7021 - maximální rozměr 2550 x 1605 mm</v>
      </c>
      <c r="DT54" t="s">
        <v>727</v>
      </c>
      <c r="DU54" t="s">
        <v>727</v>
      </c>
      <c r="DW54" t="s">
        <v>2357</v>
      </c>
      <c r="DX54" t="s">
        <v>2359</v>
      </c>
      <c r="ED54" t="s">
        <v>2862</v>
      </c>
      <c r="EE54" t="s">
        <v>3018</v>
      </c>
      <c r="ER54" t="s">
        <v>3484</v>
      </c>
      <c r="ES54" t="s">
        <v>3484</v>
      </c>
    </row>
    <row r="55" spans="1:149">
      <c r="A55" t="str">
        <f>'Translate&amp;Prices&amp;Logo'!$B$33</f>
        <v>Vivaro zlatá</v>
      </c>
      <c r="B55">
        <v>2</v>
      </c>
      <c r="C55" t="s">
        <v>1215</v>
      </c>
      <c r="D55">
        <v>1</v>
      </c>
      <c r="E55">
        <v>1</v>
      </c>
      <c r="Q55" t="str">
        <f>'Translate&amp;Prices&amp;Logo'!$B$154</f>
        <v>Matelac RAL 9003 - maximální rozměr 2550 x 1605 mm</v>
      </c>
      <c r="DT55" t="s">
        <v>718</v>
      </c>
      <c r="DU55" t="s">
        <v>719</v>
      </c>
      <c r="DW55" t="s">
        <v>3364</v>
      </c>
      <c r="DX55" t="s">
        <v>3367</v>
      </c>
      <c r="ED55" t="s">
        <v>2863</v>
      </c>
      <c r="EE55" t="s">
        <v>3019</v>
      </c>
      <c r="ER55" t="s">
        <v>4213</v>
      </c>
      <c r="ES55" t="s">
        <v>4213</v>
      </c>
    </row>
    <row r="56" spans="1:149">
      <c r="A56" t="str">
        <f>'Translate&amp;Prices&amp;Logo'!$B$62</f>
        <v>Vivaro zlatá broušená</v>
      </c>
      <c r="B56">
        <v>2</v>
      </c>
      <c r="C56" t="s">
        <v>1215</v>
      </c>
      <c r="D56">
        <v>0</v>
      </c>
      <c r="E56">
        <v>1</v>
      </c>
      <c r="Q56" t="str">
        <f>'Translate&amp;Prices&amp;Logo'!$B$155</f>
        <v>Matelac RAL 9005 - maximální rozměr 2550 x 1605 mm</v>
      </c>
      <c r="DT56" t="s">
        <v>1655</v>
      </c>
      <c r="DU56" t="s">
        <v>1658</v>
      </c>
      <c r="DW56" t="s">
        <v>3365</v>
      </c>
      <c r="DX56" t="s">
        <v>3368</v>
      </c>
      <c r="ED56" t="s">
        <v>2864</v>
      </c>
      <c r="EE56" t="s">
        <v>3020</v>
      </c>
      <c r="ER56" t="s">
        <v>4214</v>
      </c>
      <c r="ES56" t="s">
        <v>4214</v>
      </c>
    </row>
    <row r="57" spans="1:149">
      <c r="A57" t="str">
        <f>'Translate&amp;Prices&amp;Logo'!$B$78</f>
        <v>Siena elox (Vlevo a vpravo) + Varna elox (Nahoře a dole)</v>
      </c>
      <c r="B57">
        <v>3</v>
      </c>
      <c r="C57" t="s">
        <v>1215</v>
      </c>
      <c r="D57">
        <v>0</v>
      </c>
      <c r="Q57" t="str">
        <f>'Translate&amp;Prices&amp;Logo'!$B$156</f>
        <v>Matelac RAL 9006 - maximální rozměr 2550 x 1605 mm</v>
      </c>
      <c r="DT57" t="s">
        <v>1649</v>
      </c>
      <c r="DU57" t="s">
        <v>1650</v>
      </c>
      <c r="DW57" t="s">
        <v>3366</v>
      </c>
      <c r="DX57" t="s">
        <v>3369</v>
      </c>
      <c r="ED57" t="s">
        <v>2865</v>
      </c>
      <c r="EE57" t="s">
        <v>3021</v>
      </c>
      <c r="ER57" t="s">
        <v>4214</v>
      </c>
      <c r="ES57" t="s">
        <v>4214</v>
      </c>
    </row>
    <row r="58" spans="1:149">
      <c r="A58" t="str">
        <f>'Translate&amp;Prices&amp;Logo'!$B$80</f>
        <v>Siena černá (Vlevo a vpravo) + Varna černá (Nahoře a dole)</v>
      </c>
      <c r="B58">
        <v>3</v>
      </c>
      <c r="C58" t="s">
        <v>1215</v>
      </c>
      <c r="D58">
        <v>0</v>
      </c>
      <c r="E58">
        <v>1</v>
      </c>
      <c r="Q58" t="str">
        <f>'Translate&amp;Prices&amp;Logo'!$B$158</f>
        <v>Matelac RAL 1435 - maximální rozměr 2550 x 1605 mm</v>
      </c>
      <c r="DT58" t="s">
        <v>1652</v>
      </c>
      <c r="DU58" t="s">
        <v>1652</v>
      </c>
      <c r="DW58" t="s">
        <v>2824</v>
      </c>
      <c r="DX58" t="s">
        <v>2825</v>
      </c>
      <c r="ED58" t="s">
        <v>2866</v>
      </c>
      <c r="EE58" t="s">
        <v>3022</v>
      </c>
      <c r="ER58" t="s">
        <v>3503</v>
      </c>
      <c r="ES58" t="s">
        <v>3503</v>
      </c>
    </row>
    <row r="59" spans="1:149">
      <c r="A59" t="str">
        <f>'Translate&amp;Prices&amp;Logo'!$B$82</f>
        <v>Palio elox (Vlevo a vpravo) + Varna elox (Nahoře a dole)</v>
      </c>
      <c r="B59">
        <v>3</v>
      </c>
      <c r="C59" t="s">
        <v>1215</v>
      </c>
      <c r="D59">
        <v>0</v>
      </c>
      <c r="Q59" t="str">
        <f>'Translate&amp;Prices&amp;Logo'!$B$159</f>
        <v>Matelac RAL 1586 - maximální rozměr 2550 x 1605 mm</v>
      </c>
      <c r="AA59" t="s">
        <v>3328</v>
      </c>
      <c r="AB59" t="s">
        <v>3330</v>
      </c>
      <c r="DT59" t="s">
        <v>720</v>
      </c>
      <c r="DU59" t="s">
        <v>720</v>
      </c>
      <c r="DW59" t="s">
        <v>984</v>
      </c>
      <c r="DX59" t="s">
        <v>984</v>
      </c>
      <c r="ED59" t="s">
        <v>2867</v>
      </c>
      <c r="EE59" t="s">
        <v>3023</v>
      </c>
      <c r="ER59" t="s">
        <v>3503</v>
      </c>
      <c r="ES59" t="s">
        <v>3503</v>
      </c>
    </row>
    <row r="60" spans="1:149">
      <c r="A60" t="str">
        <f>'Translate&amp;Prices&amp;Logo'!$B$87</f>
        <v>Palio černá (Vlevo a vpravo) + Varna černá (Nahoře a dole)</v>
      </c>
      <c r="B60">
        <v>3</v>
      </c>
      <c r="C60" t="s">
        <v>1215</v>
      </c>
      <c r="D60">
        <v>0</v>
      </c>
      <c r="E60">
        <v>1</v>
      </c>
      <c r="Q60" t="str">
        <f>'Translate&amp;Prices&amp;Logo'!$B$160</f>
        <v>Matelac zrcadlo bronz - maximální rozměr 2550 x 1605 mm</v>
      </c>
      <c r="AB60" t="s">
        <v>2022</v>
      </c>
      <c r="AC60">
        <v>0</v>
      </c>
      <c r="AD60">
        <v>0</v>
      </c>
      <c r="DT60" t="s">
        <v>721</v>
      </c>
      <c r="DU60" t="s">
        <v>721</v>
      </c>
      <c r="DW60" t="s">
        <v>1393</v>
      </c>
      <c r="DX60" t="s">
        <v>1402</v>
      </c>
      <c r="ED60" t="s">
        <v>2868</v>
      </c>
      <c r="EE60" t="s">
        <v>3024</v>
      </c>
      <c r="ER60" t="s">
        <v>3503</v>
      </c>
      <c r="ES60" t="s">
        <v>3503</v>
      </c>
    </row>
    <row r="61" spans="1:149">
      <c r="A61" t="str">
        <f>'Translate&amp;Prices&amp;Logo'!$B$84</f>
        <v>Rocca elox (Vlevo a vpravo) + Varna elox (Nahoře a dole)</v>
      </c>
      <c r="B61">
        <v>3</v>
      </c>
      <c r="C61" t="s">
        <v>1215</v>
      </c>
      <c r="D61">
        <v>0</v>
      </c>
      <c r="Q61" t="str">
        <f>'Translate&amp;Prices&amp;Logo'!$B$162</f>
        <v>Matelac zrcadlo grafit - maximální rozměr 2550 x 1605 mm</v>
      </c>
      <c r="AB61" t="s">
        <v>2024</v>
      </c>
      <c r="AC61">
        <v>0</v>
      </c>
      <c r="AD61">
        <v>0</v>
      </c>
      <c r="DT61" t="s">
        <v>722</v>
      </c>
      <c r="DU61" t="s">
        <v>722</v>
      </c>
      <c r="DW61" t="s">
        <v>1616</v>
      </c>
      <c r="DX61" t="s">
        <v>2432</v>
      </c>
      <c r="ED61" t="s">
        <v>2869</v>
      </c>
      <c r="EE61" t="s">
        <v>3025</v>
      </c>
      <c r="ER61" t="s">
        <v>3503</v>
      </c>
      <c r="ES61" t="s">
        <v>3503</v>
      </c>
    </row>
    <row r="62" spans="1:149">
      <c r="A62" t="str">
        <f>'Translate&amp;Prices&amp;Logo'!$B$86</f>
        <v>Rocca černá (Vlevo a vpravo) + Varna černá (Nahoře a dole)</v>
      </c>
      <c r="B62">
        <v>3</v>
      </c>
      <c r="C62" t="s">
        <v>1215</v>
      </c>
      <c r="D62">
        <v>0</v>
      </c>
      <c r="E62">
        <v>1</v>
      </c>
      <c r="Q62" t="str">
        <f>'Translate&amp;Prices&amp;Logo'!$B$163</f>
        <v>Matelac zrcadlo stříbr. - maximální rozměr 2550 x 1605 mm</v>
      </c>
      <c r="AB62" t="s">
        <v>2025</v>
      </c>
      <c r="AC62">
        <v>0</v>
      </c>
      <c r="AD62">
        <v>0</v>
      </c>
      <c r="DT62" t="s">
        <v>723</v>
      </c>
      <c r="DU62" t="s">
        <v>723</v>
      </c>
      <c r="DW62" t="s">
        <v>1620</v>
      </c>
      <c r="DX62" t="s">
        <v>2433</v>
      </c>
      <c r="ED62" t="s">
        <v>2870</v>
      </c>
      <c r="EE62" t="s">
        <v>3026</v>
      </c>
      <c r="ER62" t="s">
        <v>3504</v>
      </c>
      <c r="ES62" t="s">
        <v>3504</v>
      </c>
    </row>
    <row r="63" spans="1:149">
      <c r="AB63" t="s">
        <v>2027</v>
      </c>
      <c r="AC63">
        <v>0</v>
      </c>
      <c r="AD63">
        <v>0</v>
      </c>
      <c r="DT63" t="s">
        <v>725</v>
      </c>
      <c r="DU63" t="s">
        <v>725</v>
      </c>
      <c r="DW63" t="s">
        <v>1403</v>
      </c>
      <c r="DX63" t="s">
        <v>1394</v>
      </c>
      <c r="ED63" t="s">
        <v>2871</v>
      </c>
      <c r="EE63" t="s">
        <v>3027</v>
      </c>
      <c r="ER63" t="s">
        <v>3504</v>
      </c>
      <c r="ES63" t="s">
        <v>3504</v>
      </c>
    </row>
    <row r="64" spans="1:149">
      <c r="A64" t="str">
        <f>'Translate&amp;Prices&amp;Logo'!$B$71</f>
        <v>ROMA černá mat</v>
      </c>
      <c r="B64">
        <v>1</v>
      </c>
      <c r="C64" t="s">
        <v>1215</v>
      </c>
      <c r="D64">
        <v>0</v>
      </c>
      <c r="Q64">
        <f>'Translate&amp;Prices&amp;Logo'!$B$66</f>
        <v>0</v>
      </c>
      <c r="DT64" t="s">
        <v>61</v>
      </c>
      <c r="DU64" t="s">
        <v>61</v>
      </c>
      <c r="DW64" t="s">
        <v>986</v>
      </c>
      <c r="DX64" t="s">
        <v>2434</v>
      </c>
      <c r="ED64" t="s">
        <v>2872</v>
      </c>
      <c r="EE64" t="s">
        <v>3028</v>
      </c>
      <c r="ER64" t="s">
        <v>3504</v>
      </c>
      <c r="ES64" t="s">
        <v>3504</v>
      </c>
    </row>
    <row r="65" spans="1:149">
      <c r="A65" t="str">
        <f>'Translate&amp;Prices&amp;Logo'!$B$72</f>
        <v>ROMA champagne mat</v>
      </c>
      <c r="B65">
        <v>1</v>
      </c>
      <c r="C65" t="s">
        <v>1215</v>
      </c>
      <c r="D65">
        <v>0</v>
      </c>
      <c r="Q65">
        <f>'Translate&amp;Prices&amp;Logo'!$B$67</f>
        <v>0</v>
      </c>
      <c r="DT65" t="s">
        <v>62</v>
      </c>
      <c r="DU65" t="s">
        <v>62</v>
      </c>
      <c r="DW65" t="s">
        <v>1608</v>
      </c>
      <c r="DX65" t="s">
        <v>2435</v>
      </c>
      <c r="ED65" t="s">
        <v>2906</v>
      </c>
      <c r="EE65" t="s">
        <v>2967</v>
      </c>
      <c r="ER65" t="s">
        <v>3504</v>
      </c>
      <c r="ES65" t="s">
        <v>3504</v>
      </c>
    </row>
    <row r="66" spans="1:149">
      <c r="A66" t="str">
        <f>'Translate&amp;Prices&amp;Logo'!$B$73</f>
        <v>ROMA GRIP černá mat</v>
      </c>
      <c r="B66">
        <v>1</v>
      </c>
      <c r="C66" t="s">
        <v>1215</v>
      </c>
      <c r="D66">
        <v>0</v>
      </c>
      <c r="Q66">
        <f>'Translate&amp;Prices&amp;Logo'!$B$68</f>
        <v>0</v>
      </c>
      <c r="DT66" t="s">
        <v>45</v>
      </c>
      <c r="DU66" t="s">
        <v>45</v>
      </c>
      <c r="DW66" t="s">
        <v>2808</v>
      </c>
      <c r="DX66" t="s">
        <v>2809</v>
      </c>
      <c r="ED66" t="s">
        <v>2907</v>
      </c>
      <c r="EE66" t="s">
        <v>2968</v>
      </c>
      <c r="ER66" t="s">
        <v>3505</v>
      </c>
      <c r="ES66" t="s">
        <v>3505</v>
      </c>
    </row>
    <row r="67" spans="1:149">
      <c r="A67" t="str">
        <f>'Translate&amp;Prices&amp;Logo'!$B$74</f>
        <v>ROMA GRIP champagne mat</v>
      </c>
      <c r="B67">
        <v>1</v>
      </c>
      <c r="C67" t="s">
        <v>1215</v>
      </c>
      <c r="D67">
        <v>0</v>
      </c>
      <c r="Q67" t="str">
        <f>'Translate&amp;Prices&amp;Logo'!$B$69</f>
        <v>BRW champagne</v>
      </c>
      <c r="DT67" t="s">
        <v>51</v>
      </c>
      <c r="DU67" t="s">
        <v>51</v>
      </c>
      <c r="DW67" t="s">
        <v>990</v>
      </c>
      <c r="DX67" t="s">
        <v>991</v>
      </c>
      <c r="ED67" t="s">
        <v>2908</v>
      </c>
      <c r="EE67" t="s">
        <v>2969</v>
      </c>
      <c r="ER67" t="s">
        <v>3505</v>
      </c>
      <c r="ES67" t="s">
        <v>3505</v>
      </c>
    </row>
    <row r="68" spans="1:149">
      <c r="DT68" t="s">
        <v>52</v>
      </c>
      <c r="DU68" t="s">
        <v>52</v>
      </c>
      <c r="DW68" t="s">
        <v>1406</v>
      </c>
      <c r="DX68" t="s">
        <v>1407</v>
      </c>
      <c r="ED68" t="s">
        <v>2909</v>
      </c>
      <c r="EE68" t="s">
        <v>2970</v>
      </c>
      <c r="ER68" t="s">
        <v>3505</v>
      </c>
      <c r="ES68" t="s">
        <v>3505</v>
      </c>
    </row>
    <row r="69" spans="1:149">
      <c r="DT69" t="s">
        <v>53</v>
      </c>
      <c r="DU69" t="s">
        <v>53</v>
      </c>
      <c r="DW69" t="s">
        <v>42</v>
      </c>
      <c r="DX69" t="s">
        <v>2436</v>
      </c>
      <c r="ED69" t="s">
        <v>2910</v>
      </c>
      <c r="EE69" t="s">
        <v>2971</v>
      </c>
      <c r="ER69" t="s">
        <v>3505</v>
      </c>
      <c r="ES69" t="s">
        <v>3505</v>
      </c>
    </row>
    <row r="70" spans="1:149">
      <c r="DT70" t="s">
        <v>46</v>
      </c>
      <c r="DU70" t="s">
        <v>46</v>
      </c>
      <c r="DW70" t="s">
        <v>1410</v>
      </c>
      <c r="DX70" t="s">
        <v>2437</v>
      </c>
      <c r="ED70" t="s">
        <v>2911</v>
      </c>
      <c r="EE70" t="s">
        <v>2972</v>
      </c>
      <c r="ER70" t="s">
        <v>3506</v>
      </c>
      <c r="ES70" t="s">
        <v>3506</v>
      </c>
    </row>
    <row r="71" spans="1:149">
      <c r="DT71" t="s">
        <v>56</v>
      </c>
      <c r="DU71" t="s">
        <v>56</v>
      </c>
      <c r="DW71" t="s">
        <v>993</v>
      </c>
      <c r="DX71" t="s">
        <v>993</v>
      </c>
      <c r="ED71" t="s">
        <v>2912</v>
      </c>
      <c r="EE71" t="s">
        <v>2973</v>
      </c>
      <c r="ER71" t="s">
        <v>3506</v>
      </c>
      <c r="ES71" t="s">
        <v>3506</v>
      </c>
    </row>
    <row r="72" spans="1:149">
      <c r="DT72" t="s">
        <v>60</v>
      </c>
      <c r="DU72" t="s">
        <v>60</v>
      </c>
      <c r="DW72" t="s">
        <v>1642</v>
      </c>
      <c r="DX72" t="s">
        <v>2438</v>
      </c>
      <c r="ED72" t="s">
        <v>2913</v>
      </c>
      <c r="EE72" t="s">
        <v>2974</v>
      </c>
      <c r="ER72" t="s">
        <v>3506</v>
      </c>
      <c r="ES72" t="s">
        <v>3506</v>
      </c>
    </row>
    <row r="73" spans="1:149">
      <c r="DT73" t="s">
        <v>63</v>
      </c>
      <c r="DU73" t="s">
        <v>63</v>
      </c>
      <c r="DW73" t="s">
        <v>994</v>
      </c>
      <c r="DX73" t="s">
        <v>2439</v>
      </c>
      <c r="ED73" t="s">
        <v>2914</v>
      </c>
      <c r="EE73" t="s">
        <v>2975</v>
      </c>
      <c r="ER73" t="s">
        <v>3506</v>
      </c>
      <c r="ES73" t="s">
        <v>3506</v>
      </c>
    </row>
    <row r="74" spans="1:149">
      <c r="DT74" t="s">
        <v>65</v>
      </c>
      <c r="DU74" t="s">
        <v>65</v>
      </c>
      <c r="DW74" t="s">
        <v>997</v>
      </c>
      <c r="DX74" t="s">
        <v>997</v>
      </c>
      <c r="ED74" t="s">
        <v>2915</v>
      </c>
      <c r="EE74" t="s">
        <v>2976</v>
      </c>
      <c r="ER74" t="s">
        <v>3506</v>
      </c>
      <c r="ES74" t="s">
        <v>3506</v>
      </c>
    </row>
    <row r="75" spans="1:149">
      <c r="DT75" t="s">
        <v>64</v>
      </c>
      <c r="DU75" t="s">
        <v>64</v>
      </c>
      <c r="DW75" t="s">
        <v>1588</v>
      </c>
      <c r="DX75" t="s">
        <v>2440</v>
      </c>
      <c r="ED75" t="s">
        <v>2916</v>
      </c>
      <c r="EE75" t="s">
        <v>2977</v>
      </c>
      <c r="ER75" t="s">
        <v>3507</v>
      </c>
      <c r="ES75" t="s">
        <v>3507</v>
      </c>
    </row>
    <row r="76" spans="1:149">
      <c r="DT76" t="s">
        <v>1006</v>
      </c>
      <c r="DU76" t="s">
        <v>1006</v>
      </c>
      <c r="DW76" t="s">
        <v>1637</v>
      </c>
      <c r="DX76" t="s">
        <v>2441</v>
      </c>
      <c r="ED76" t="s">
        <v>4260</v>
      </c>
      <c r="EE76" t="s">
        <v>4261</v>
      </c>
      <c r="ER76" t="s">
        <v>3507</v>
      </c>
      <c r="ES76" t="s">
        <v>3507</v>
      </c>
    </row>
    <row r="77" spans="1:149">
      <c r="DT77" t="s">
        <v>47</v>
      </c>
      <c r="DU77" t="s">
        <v>47</v>
      </c>
      <c r="DW77" t="s">
        <v>998</v>
      </c>
      <c r="DX77" t="s">
        <v>998</v>
      </c>
      <c r="ED77" t="s">
        <v>2917</v>
      </c>
      <c r="EE77" t="s">
        <v>2978</v>
      </c>
      <c r="ER77" t="s">
        <v>3507</v>
      </c>
      <c r="ES77" t="s">
        <v>3507</v>
      </c>
    </row>
    <row r="78" spans="1:149">
      <c r="A78" t="s">
        <v>677</v>
      </c>
      <c r="DT78" t="s">
        <v>74</v>
      </c>
      <c r="DU78" t="s">
        <v>74</v>
      </c>
      <c r="DW78" t="s">
        <v>1600</v>
      </c>
      <c r="DX78" t="s">
        <v>2442</v>
      </c>
      <c r="ED78" t="s">
        <v>2918</v>
      </c>
      <c r="EE78" t="s">
        <v>2979</v>
      </c>
      <c r="ER78" t="s">
        <v>3507</v>
      </c>
      <c r="ES78" t="s">
        <v>3507</v>
      </c>
    </row>
    <row r="79" spans="1:149">
      <c r="DT79" t="s">
        <v>76</v>
      </c>
      <c r="DU79" t="s">
        <v>76</v>
      </c>
      <c r="DW79" t="s">
        <v>2812</v>
      </c>
      <c r="DX79" t="s">
        <v>2813</v>
      </c>
      <c r="ED79" t="s">
        <v>2919</v>
      </c>
      <c r="EE79" t="s">
        <v>2980</v>
      </c>
      <c r="ER79" t="s">
        <v>3507</v>
      </c>
      <c r="ES79" t="s">
        <v>3507</v>
      </c>
    </row>
    <row r="80" spans="1:149">
      <c r="DT80" t="s">
        <v>72</v>
      </c>
      <c r="DU80" t="s">
        <v>72</v>
      </c>
      <c r="DW80" t="s">
        <v>682</v>
      </c>
      <c r="DX80" t="s">
        <v>683</v>
      </c>
      <c r="ED80" t="s">
        <v>2920</v>
      </c>
      <c r="EE80" t="s">
        <v>2981</v>
      </c>
      <c r="ER80" t="s">
        <v>3508</v>
      </c>
      <c r="ES80" t="s">
        <v>3508</v>
      </c>
    </row>
    <row r="81" spans="124:149">
      <c r="DT81" t="s">
        <v>69</v>
      </c>
      <c r="DU81" t="s">
        <v>69</v>
      </c>
      <c r="DW81" t="s">
        <v>1412</v>
      </c>
      <c r="DX81" t="s">
        <v>2443</v>
      </c>
      <c r="ED81" t="s">
        <v>2921</v>
      </c>
      <c r="EE81" t="s">
        <v>2982</v>
      </c>
      <c r="ER81" t="s">
        <v>3508</v>
      </c>
      <c r="ES81" t="s">
        <v>3508</v>
      </c>
    </row>
    <row r="82" spans="124:149">
      <c r="DT82" t="s">
        <v>73</v>
      </c>
      <c r="DU82" t="s">
        <v>73</v>
      </c>
      <c r="DW82" t="s">
        <v>999</v>
      </c>
      <c r="DX82" t="s">
        <v>999</v>
      </c>
      <c r="ED82" t="s">
        <v>2922</v>
      </c>
      <c r="EE82" t="s">
        <v>2983</v>
      </c>
      <c r="ER82" t="s">
        <v>3508</v>
      </c>
      <c r="ES82" t="s">
        <v>3508</v>
      </c>
    </row>
    <row r="83" spans="124:149">
      <c r="DT83" t="s">
        <v>71</v>
      </c>
      <c r="DU83" t="s">
        <v>71</v>
      </c>
      <c r="DW83" t="s">
        <v>2223</v>
      </c>
      <c r="DX83" t="s">
        <v>2444</v>
      </c>
      <c r="ED83" t="s">
        <v>2923</v>
      </c>
      <c r="EE83" t="s">
        <v>2984</v>
      </c>
      <c r="ER83" t="s">
        <v>3508</v>
      </c>
      <c r="ES83" t="s">
        <v>3508</v>
      </c>
    </row>
    <row r="84" spans="124:149">
      <c r="DT84" t="s">
        <v>70</v>
      </c>
      <c r="DU84" t="s">
        <v>70</v>
      </c>
      <c r="DW84" t="s">
        <v>1000</v>
      </c>
      <c r="DX84" t="s">
        <v>1000</v>
      </c>
      <c r="ED84" t="s">
        <v>2924</v>
      </c>
      <c r="EE84" t="s">
        <v>2985</v>
      </c>
      <c r="ER84" t="s">
        <v>3508</v>
      </c>
      <c r="ES84" t="s">
        <v>3508</v>
      </c>
    </row>
    <row r="85" spans="124:149">
      <c r="DT85" t="s">
        <v>542</v>
      </c>
      <c r="DU85" t="s">
        <v>539</v>
      </c>
      <c r="DW85" t="s">
        <v>1592</v>
      </c>
      <c r="DX85" t="s">
        <v>2445</v>
      </c>
      <c r="ED85" t="s">
        <v>2925</v>
      </c>
      <c r="EE85" t="s">
        <v>2986</v>
      </c>
      <c r="ER85" t="s">
        <v>4215</v>
      </c>
      <c r="ES85" t="s">
        <v>4215</v>
      </c>
    </row>
    <row r="86" spans="124:149">
      <c r="DT86" t="s">
        <v>544</v>
      </c>
      <c r="DU86" t="s">
        <v>541</v>
      </c>
      <c r="DW86" t="s">
        <v>2816</v>
      </c>
      <c r="DX86" t="s">
        <v>2817</v>
      </c>
      <c r="ED86" t="s">
        <v>2838</v>
      </c>
      <c r="EE86" t="s">
        <v>2987</v>
      </c>
      <c r="ER86" t="s">
        <v>4215</v>
      </c>
      <c r="ES86" t="s">
        <v>4215</v>
      </c>
    </row>
    <row r="87" spans="124:149">
      <c r="DT87" t="s">
        <v>1663</v>
      </c>
      <c r="DU87" t="s">
        <v>1664</v>
      </c>
      <c r="DW87" t="s">
        <v>1001</v>
      </c>
      <c r="DX87" t="s">
        <v>1001</v>
      </c>
      <c r="ED87" t="s">
        <v>2926</v>
      </c>
      <c r="EE87" t="s">
        <v>2988</v>
      </c>
      <c r="ER87" t="s">
        <v>4216</v>
      </c>
      <c r="ES87" t="s">
        <v>4216</v>
      </c>
    </row>
    <row r="88" spans="124:149">
      <c r="DT88" t="s">
        <v>712</v>
      </c>
      <c r="DU88" t="s">
        <v>712</v>
      </c>
      <c r="DW88" t="s">
        <v>1002</v>
      </c>
      <c r="DX88" t="s">
        <v>1002</v>
      </c>
      <c r="ED88" t="s">
        <v>2927</v>
      </c>
      <c r="EE88" t="s">
        <v>2989</v>
      </c>
      <c r="ER88" t="s">
        <v>4216</v>
      </c>
      <c r="ES88" t="s">
        <v>4216</v>
      </c>
    </row>
    <row r="89" spans="124:149">
      <c r="DT89" t="s">
        <v>715</v>
      </c>
      <c r="DU89" t="s">
        <v>715</v>
      </c>
      <c r="DW89" t="s">
        <v>2225</v>
      </c>
      <c r="DX89" t="s">
        <v>2446</v>
      </c>
      <c r="ED89" t="s">
        <v>2928</v>
      </c>
      <c r="EE89" t="s">
        <v>2990</v>
      </c>
      <c r="ER89" t="s">
        <v>4217</v>
      </c>
      <c r="ES89" t="s">
        <v>4217</v>
      </c>
    </row>
    <row r="90" spans="124:149">
      <c r="DT90" t="s">
        <v>1656</v>
      </c>
      <c r="DU90" t="s">
        <v>1656</v>
      </c>
      <c r="DW90" t="s">
        <v>1003</v>
      </c>
      <c r="DX90" t="s">
        <v>1003</v>
      </c>
      <c r="ED90" t="s">
        <v>2929</v>
      </c>
      <c r="EE90" t="s">
        <v>2991</v>
      </c>
      <c r="ER90" t="s">
        <v>4217</v>
      </c>
      <c r="ES90" t="s">
        <v>4217</v>
      </c>
    </row>
    <row r="91" spans="124:149">
      <c r="DT91" t="s">
        <v>1425</v>
      </c>
      <c r="DU91" t="s">
        <v>1425</v>
      </c>
      <c r="DW91" t="s">
        <v>693</v>
      </c>
      <c r="DX91" t="s">
        <v>2447</v>
      </c>
      <c r="ED91" t="s">
        <v>2930</v>
      </c>
      <c r="EE91" t="s">
        <v>2992</v>
      </c>
      <c r="ER91" t="s">
        <v>4218</v>
      </c>
      <c r="ES91" t="s">
        <v>4218</v>
      </c>
    </row>
    <row r="92" spans="124:149">
      <c r="DT92" t="s">
        <v>1426</v>
      </c>
      <c r="DU92" t="s">
        <v>1426</v>
      </c>
      <c r="DW92" t="s">
        <v>690</v>
      </c>
      <c r="DX92" t="s">
        <v>691</v>
      </c>
      <c r="ED92" t="s">
        <v>2931</v>
      </c>
      <c r="EE92" t="s">
        <v>2993</v>
      </c>
      <c r="ER92" t="s">
        <v>4218</v>
      </c>
      <c r="ES92" t="s">
        <v>4218</v>
      </c>
    </row>
    <row r="93" spans="124:149">
      <c r="DT93" t="s">
        <v>1427</v>
      </c>
      <c r="DU93" t="s">
        <v>1427</v>
      </c>
      <c r="DW93" t="s">
        <v>1576</v>
      </c>
      <c r="DX93" t="s">
        <v>2448</v>
      </c>
      <c r="ED93" t="s">
        <v>2932</v>
      </c>
      <c r="EE93" t="s">
        <v>2994</v>
      </c>
      <c r="ER93" t="s">
        <v>4218</v>
      </c>
      <c r="ES93" t="s">
        <v>4218</v>
      </c>
    </row>
    <row r="94" spans="124:149">
      <c r="DT94" t="s">
        <v>1657</v>
      </c>
      <c r="DU94" t="s">
        <v>1657</v>
      </c>
      <c r="DW94" t="s">
        <v>1415</v>
      </c>
      <c r="DX94" t="s">
        <v>1416</v>
      </c>
      <c r="ED94" t="s">
        <v>2933</v>
      </c>
      <c r="EE94" t="s">
        <v>2995</v>
      </c>
      <c r="ER94" t="s">
        <v>4219</v>
      </c>
      <c r="ES94" t="s">
        <v>4219</v>
      </c>
    </row>
    <row r="95" spans="124:149">
      <c r="DT95" t="s">
        <v>716</v>
      </c>
      <c r="DU95" t="s">
        <v>716</v>
      </c>
      <c r="DW95" t="s">
        <v>686</v>
      </c>
      <c r="DX95" t="s">
        <v>2449</v>
      </c>
      <c r="ED95" t="s">
        <v>2934</v>
      </c>
      <c r="EE95" t="s">
        <v>2996</v>
      </c>
      <c r="ER95" t="s">
        <v>4219</v>
      </c>
      <c r="ES95" t="s">
        <v>4219</v>
      </c>
    </row>
    <row r="96" spans="124:149">
      <c r="DT96" t="s">
        <v>2456</v>
      </c>
      <c r="DU96" t="s">
        <v>2456</v>
      </c>
      <c r="DW96" t="s">
        <v>696</v>
      </c>
      <c r="DX96" t="s">
        <v>2450</v>
      </c>
      <c r="ED96" t="s">
        <v>2935</v>
      </c>
      <c r="EE96" t="s">
        <v>2997</v>
      </c>
      <c r="ER96" t="s">
        <v>4219</v>
      </c>
      <c r="ES96" t="s">
        <v>4219</v>
      </c>
    </row>
    <row r="97" spans="124:149">
      <c r="DT97" t="s">
        <v>727</v>
      </c>
      <c r="DU97" t="s">
        <v>727</v>
      </c>
      <c r="DW97" t="s">
        <v>1420</v>
      </c>
      <c r="DX97" t="s">
        <v>2451</v>
      </c>
      <c r="ED97" t="s">
        <v>2936</v>
      </c>
      <c r="EE97" t="s">
        <v>2998</v>
      </c>
      <c r="ER97" t="s">
        <v>4220</v>
      </c>
      <c r="ES97" t="s">
        <v>4220</v>
      </c>
    </row>
    <row r="98" spans="124:149">
      <c r="DT98" t="s">
        <v>719</v>
      </c>
      <c r="DU98" t="s">
        <v>719</v>
      </c>
      <c r="DW98" t="s">
        <v>3317</v>
      </c>
      <c r="DX98" t="s">
        <v>3317</v>
      </c>
      <c r="ED98" t="s">
        <v>2937</v>
      </c>
      <c r="EE98" t="s">
        <v>2999</v>
      </c>
      <c r="ER98" t="s">
        <v>4220</v>
      </c>
      <c r="ES98" t="s">
        <v>4220</v>
      </c>
    </row>
    <row r="99" spans="124:149">
      <c r="DT99" t="s">
        <v>1658</v>
      </c>
      <c r="DU99" t="s">
        <v>1658</v>
      </c>
      <c r="DW99" t="s">
        <v>3319</v>
      </c>
      <c r="DX99" t="s">
        <v>3320</v>
      </c>
      <c r="ED99" t="s">
        <v>2938</v>
      </c>
      <c r="EE99" t="s">
        <v>3000</v>
      </c>
      <c r="ER99" t="s">
        <v>4220</v>
      </c>
      <c r="ES99" t="s">
        <v>4220</v>
      </c>
    </row>
    <row r="100" spans="124:149">
      <c r="DT100" t="s">
        <v>1650</v>
      </c>
      <c r="DU100" t="s">
        <v>1650</v>
      </c>
      <c r="DW100" t="s">
        <v>1004</v>
      </c>
      <c r="DX100" t="s">
        <v>1004</v>
      </c>
      <c r="ED100" t="s">
        <v>2939</v>
      </c>
      <c r="EE100" t="s">
        <v>3001</v>
      </c>
      <c r="ER100" t="s">
        <v>3485</v>
      </c>
      <c r="ES100" t="s">
        <v>3479</v>
      </c>
    </row>
    <row r="101" spans="124:149">
      <c r="DT101" t="s">
        <v>1652</v>
      </c>
      <c r="DU101" t="s">
        <v>1652</v>
      </c>
      <c r="DW101" t="s">
        <v>1584</v>
      </c>
      <c r="DX101" t="s">
        <v>2452</v>
      </c>
      <c r="ED101" t="s">
        <v>2940</v>
      </c>
      <c r="EE101" t="s">
        <v>3002</v>
      </c>
      <c r="ER101" t="s">
        <v>3485</v>
      </c>
      <c r="ES101" t="s">
        <v>3479</v>
      </c>
    </row>
    <row r="102" spans="124:149">
      <c r="DT102" t="s">
        <v>720</v>
      </c>
      <c r="DU102" t="s">
        <v>720</v>
      </c>
      <c r="DW102" t="s">
        <v>2820</v>
      </c>
      <c r="DX102" t="s">
        <v>2821</v>
      </c>
      <c r="ED102" t="s">
        <v>2941</v>
      </c>
      <c r="EE102" t="s">
        <v>3003</v>
      </c>
      <c r="ER102" t="s">
        <v>3485</v>
      </c>
      <c r="ES102" t="s">
        <v>3479</v>
      </c>
    </row>
    <row r="103" spans="124:149">
      <c r="DT103" t="s">
        <v>721</v>
      </c>
      <c r="DU103" t="s">
        <v>721</v>
      </c>
      <c r="DW103" t="s">
        <v>1423</v>
      </c>
      <c r="DX103" t="s">
        <v>2453</v>
      </c>
      <c r="ED103" t="s">
        <v>2942</v>
      </c>
      <c r="EE103" t="s">
        <v>3004</v>
      </c>
      <c r="ER103" t="s">
        <v>3485</v>
      </c>
      <c r="ES103" t="s">
        <v>3479</v>
      </c>
    </row>
    <row r="104" spans="124:149">
      <c r="DT104" t="s">
        <v>722</v>
      </c>
      <c r="DU104" t="s">
        <v>722</v>
      </c>
      <c r="DW104" t="s">
        <v>1624</v>
      </c>
      <c r="DX104" t="s">
        <v>2454</v>
      </c>
      <c r="ED104" t="s">
        <v>2943</v>
      </c>
      <c r="EE104" t="s">
        <v>3005</v>
      </c>
      <c r="ER104" t="s">
        <v>3486</v>
      </c>
      <c r="ES104" t="s">
        <v>3480</v>
      </c>
    </row>
    <row r="105" spans="124:149">
      <c r="DT105" t="s">
        <v>723</v>
      </c>
      <c r="DU105" t="s">
        <v>723</v>
      </c>
      <c r="DW105" t="s">
        <v>1628</v>
      </c>
      <c r="DX105" t="s">
        <v>2455</v>
      </c>
      <c r="ED105" t="s">
        <v>2944</v>
      </c>
      <c r="EE105" t="s">
        <v>3006</v>
      </c>
      <c r="ER105" t="s">
        <v>3486</v>
      </c>
      <c r="ES105" t="s">
        <v>3480</v>
      </c>
    </row>
    <row r="106" spans="124:149">
      <c r="DT106" t="s">
        <v>725</v>
      </c>
      <c r="DU106" t="s">
        <v>725</v>
      </c>
      <c r="DW106" t="s">
        <v>2005</v>
      </c>
      <c r="DX106" t="s">
        <v>2352</v>
      </c>
      <c r="ED106" t="s">
        <v>2945</v>
      </c>
      <c r="EE106" t="s">
        <v>3007</v>
      </c>
      <c r="ER106" t="s">
        <v>3487</v>
      </c>
      <c r="ES106" t="s">
        <v>3481</v>
      </c>
    </row>
    <row r="107" spans="124:149">
      <c r="DT107" t="s">
        <v>61</v>
      </c>
      <c r="DU107" t="s">
        <v>61</v>
      </c>
      <c r="DW107" t="s">
        <v>707</v>
      </c>
      <c r="DX107" t="s">
        <v>707</v>
      </c>
      <c r="ED107" t="s">
        <v>2946</v>
      </c>
      <c r="EE107" t="s">
        <v>3008</v>
      </c>
      <c r="ER107" t="s">
        <v>3487</v>
      </c>
      <c r="ES107" t="s">
        <v>3481</v>
      </c>
    </row>
    <row r="108" spans="124:149">
      <c r="DT108" t="s">
        <v>62</v>
      </c>
      <c r="DU108" t="s">
        <v>62</v>
      </c>
      <c r="DW108" t="s">
        <v>2314</v>
      </c>
      <c r="DX108" t="s">
        <v>2314</v>
      </c>
      <c r="ED108" t="s">
        <v>2947</v>
      </c>
      <c r="EE108" t="s">
        <v>3009</v>
      </c>
      <c r="ER108" t="s">
        <v>3488</v>
      </c>
      <c r="ES108" t="s">
        <v>3482</v>
      </c>
    </row>
    <row r="109" spans="124:149">
      <c r="DT109" t="s">
        <v>45</v>
      </c>
      <c r="DU109" t="s">
        <v>45</v>
      </c>
      <c r="DW109" t="s">
        <v>2354</v>
      </c>
      <c r="DX109" t="s">
        <v>2355</v>
      </c>
      <c r="ED109" t="s">
        <v>2948</v>
      </c>
      <c r="EE109" t="s">
        <v>3010</v>
      </c>
      <c r="ER109" t="s">
        <v>3488</v>
      </c>
      <c r="ES109" t="s">
        <v>3482</v>
      </c>
    </row>
    <row r="110" spans="124:149">
      <c r="DT110" t="s">
        <v>51</v>
      </c>
      <c r="DU110" t="s">
        <v>51</v>
      </c>
      <c r="DW110" t="s">
        <v>3357</v>
      </c>
      <c r="DX110" t="s">
        <v>3358</v>
      </c>
      <c r="ED110" t="s">
        <v>2949</v>
      </c>
      <c r="EE110" t="s">
        <v>3011</v>
      </c>
      <c r="ER110" t="s">
        <v>3488</v>
      </c>
      <c r="ES110" t="s">
        <v>3482</v>
      </c>
    </row>
    <row r="111" spans="124:149">
      <c r="DT111" t="s">
        <v>52</v>
      </c>
      <c r="DU111" t="s">
        <v>52</v>
      </c>
      <c r="DW111" t="s">
        <v>3156</v>
      </c>
      <c r="DX111" t="s">
        <v>3157</v>
      </c>
      <c r="ED111" t="s">
        <v>2950</v>
      </c>
      <c r="EE111" t="s">
        <v>3012</v>
      </c>
      <c r="ER111" t="s">
        <v>3488</v>
      </c>
      <c r="ES111" t="s">
        <v>3482</v>
      </c>
    </row>
    <row r="112" spans="124:149">
      <c r="DT112" t="s">
        <v>53</v>
      </c>
      <c r="DU112" t="s">
        <v>53</v>
      </c>
      <c r="DW112" t="s">
        <v>2358</v>
      </c>
      <c r="DX112" t="s">
        <v>2359</v>
      </c>
      <c r="ED112" t="s">
        <v>2951</v>
      </c>
      <c r="EE112" t="s">
        <v>3013</v>
      </c>
      <c r="ER112" t="s">
        <v>3489</v>
      </c>
      <c r="ES112" t="s">
        <v>3483</v>
      </c>
    </row>
    <row r="113" spans="124:149">
      <c r="DT113" t="s">
        <v>46</v>
      </c>
      <c r="DU113" t="s">
        <v>46</v>
      </c>
      <c r="DW113" t="s">
        <v>3361</v>
      </c>
      <c r="DX113" t="s">
        <v>3367</v>
      </c>
      <c r="ED113" t="s">
        <v>2952</v>
      </c>
      <c r="EE113" t="s">
        <v>3014</v>
      </c>
      <c r="ER113" t="s">
        <v>3489</v>
      </c>
      <c r="ES113" t="s">
        <v>3483</v>
      </c>
    </row>
    <row r="114" spans="124:149">
      <c r="DT114" t="s">
        <v>56</v>
      </c>
      <c r="DU114" t="s">
        <v>56</v>
      </c>
      <c r="DW114" t="s">
        <v>3362</v>
      </c>
      <c r="DX114" t="s">
        <v>3368</v>
      </c>
      <c r="ED114" t="s">
        <v>2953</v>
      </c>
      <c r="EE114" t="s">
        <v>3015</v>
      </c>
      <c r="ER114" t="s">
        <v>3489</v>
      </c>
      <c r="ES114" t="s">
        <v>3483</v>
      </c>
    </row>
    <row r="115" spans="124:149">
      <c r="DT115" t="s">
        <v>60</v>
      </c>
      <c r="DU115" t="s">
        <v>60</v>
      </c>
      <c r="DW115" t="s">
        <v>3363</v>
      </c>
      <c r="DX115" t="s">
        <v>3369</v>
      </c>
      <c r="ED115" t="s">
        <v>2954</v>
      </c>
      <c r="EE115" t="s">
        <v>3016</v>
      </c>
      <c r="ER115" t="s">
        <v>3490</v>
      </c>
      <c r="ES115" t="s">
        <v>3484</v>
      </c>
    </row>
    <row r="116" spans="124:149">
      <c r="DT116" t="s">
        <v>63</v>
      </c>
      <c r="DU116" t="s">
        <v>63</v>
      </c>
      <c r="DW116" t="s">
        <v>2824</v>
      </c>
      <c r="DX116" t="s">
        <v>2825</v>
      </c>
      <c r="ED116" t="s">
        <v>2955</v>
      </c>
      <c r="EE116" t="s">
        <v>3017</v>
      </c>
      <c r="ER116" t="s">
        <v>3490</v>
      </c>
      <c r="ES116" t="s">
        <v>3484</v>
      </c>
    </row>
    <row r="117" spans="124:149">
      <c r="DT117" t="s">
        <v>65</v>
      </c>
      <c r="DU117" t="s">
        <v>65</v>
      </c>
      <c r="DW117" t="s">
        <v>984</v>
      </c>
      <c r="DX117" t="s">
        <v>984</v>
      </c>
      <c r="ED117" t="s">
        <v>2956</v>
      </c>
      <c r="EE117" t="s">
        <v>3018</v>
      </c>
      <c r="ER117" t="s">
        <v>3490</v>
      </c>
      <c r="ES117" t="s">
        <v>3484</v>
      </c>
    </row>
    <row r="118" spans="124:149">
      <c r="DT118" t="s">
        <v>64</v>
      </c>
      <c r="DU118" t="s">
        <v>64</v>
      </c>
      <c r="DW118" t="s">
        <v>1402</v>
      </c>
      <c r="DX118" t="s">
        <v>1402</v>
      </c>
      <c r="ED118" t="s">
        <v>2957</v>
      </c>
      <c r="EE118" t="s">
        <v>3019</v>
      </c>
      <c r="ER118" t="s">
        <v>4221</v>
      </c>
      <c r="ES118" t="s">
        <v>4213</v>
      </c>
    </row>
    <row r="119" spans="124:149">
      <c r="DT119" t="s">
        <v>1006</v>
      </c>
      <c r="DU119" t="s">
        <v>1006</v>
      </c>
      <c r="DW119" t="s">
        <v>2432</v>
      </c>
      <c r="DX119" t="s">
        <v>2432</v>
      </c>
      <c r="ED119" t="s">
        <v>2958</v>
      </c>
      <c r="EE119" t="s">
        <v>3020</v>
      </c>
      <c r="ER119" t="s">
        <v>4222</v>
      </c>
      <c r="ES119" t="s">
        <v>4214</v>
      </c>
    </row>
    <row r="120" spans="124:149">
      <c r="DT120" t="s">
        <v>47</v>
      </c>
      <c r="DU120" t="s">
        <v>47</v>
      </c>
      <c r="DW120" t="s">
        <v>2433</v>
      </c>
      <c r="DX120" t="s">
        <v>2433</v>
      </c>
      <c r="ED120" t="s">
        <v>2959</v>
      </c>
      <c r="EE120" t="s">
        <v>3021</v>
      </c>
      <c r="ER120" t="s">
        <v>4222</v>
      </c>
      <c r="ES120" t="s">
        <v>4214</v>
      </c>
    </row>
    <row r="121" spans="124:149">
      <c r="DT121" t="s">
        <v>74</v>
      </c>
      <c r="DU121" t="s">
        <v>74</v>
      </c>
      <c r="DW121" t="s">
        <v>1394</v>
      </c>
      <c r="DX121" t="s">
        <v>1394</v>
      </c>
      <c r="ED121" t="s">
        <v>2960</v>
      </c>
      <c r="EE121" t="s">
        <v>3022</v>
      </c>
      <c r="ER121" t="s">
        <v>3509</v>
      </c>
      <c r="ES121" t="s">
        <v>3503</v>
      </c>
    </row>
    <row r="122" spans="124:149">
      <c r="DT122" t="s">
        <v>76</v>
      </c>
      <c r="DU122" t="s">
        <v>76</v>
      </c>
      <c r="DW122" t="s">
        <v>2434</v>
      </c>
      <c r="DX122" t="s">
        <v>2434</v>
      </c>
      <c r="ED122" t="s">
        <v>2961</v>
      </c>
      <c r="EE122" t="s">
        <v>3023</v>
      </c>
      <c r="ER122" t="s">
        <v>3509</v>
      </c>
      <c r="ES122" t="s">
        <v>3503</v>
      </c>
    </row>
    <row r="123" spans="124:149">
      <c r="DT123" t="s">
        <v>72</v>
      </c>
      <c r="DU123" t="s">
        <v>72</v>
      </c>
      <c r="DW123" t="s">
        <v>2435</v>
      </c>
      <c r="DX123" t="s">
        <v>2435</v>
      </c>
      <c r="ED123" t="s">
        <v>2962</v>
      </c>
      <c r="EE123" t="s">
        <v>3024</v>
      </c>
      <c r="ER123" t="s">
        <v>3509</v>
      </c>
      <c r="ES123" t="s">
        <v>3503</v>
      </c>
    </row>
    <row r="124" spans="124:149">
      <c r="DT124" t="s">
        <v>69</v>
      </c>
      <c r="DU124" t="s">
        <v>69</v>
      </c>
      <c r="DW124" t="s">
        <v>2809</v>
      </c>
      <c r="DX124" t="s">
        <v>2809</v>
      </c>
      <c r="ED124" t="s">
        <v>2963</v>
      </c>
      <c r="EE124" t="s">
        <v>3025</v>
      </c>
      <c r="ER124" t="s">
        <v>3509</v>
      </c>
      <c r="ES124" t="s">
        <v>3503</v>
      </c>
    </row>
    <row r="125" spans="124:149">
      <c r="DT125" t="s">
        <v>73</v>
      </c>
      <c r="DU125" t="s">
        <v>73</v>
      </c>
      <c r="DW125" t="s">
        <v>991</v>
      </c>
      <c r="DX125" t="s">
        <v>991</v>
      </c>
      <c r="ED125" t="s">
        <v>2964</v>
      </c>
      <c r="EE125" t="s">
        <v>3026</v>
      </c>
      <c r="ER125" t="s">
        <v>3510</v>
      </c>
      <c r="ES125" t="s">
        <v>3504</v>
      </c>
    </row>
    <row r="126" spans="124:149">
      <c r="DT126" t="s">
        <v>71</v>
      </c>
      <c r="DU126" t="s">
        <v>71</v>
      </c>
      <c r="DW126" t="s">
        <v>1407</v>
      </c>
      <c r="DX126" t="s">
        <v>1407</v>
      </c>
      <c r="ED126" t="s">
        <v>2965</v>
      </c>
      <c r="EE126" t="s">
        <v>3027</v>
      </c>
      <c r="ER126" t="s">
        <v>3510</v>
      </c>
      <c r="ES126" t="s">
        <v>3504</v>
      </c>
    </row>
    <row r="127" spans="124:149">
      <c r="DT127" t="s">
        <v>70</v>
      </c>
      <c r="DU127" t="s">
        <v>70</v>
      </c>
      <c r="DW127" t="s">
        <v>2436</v>
      </c>
      <c r="DX127" t="s">
        <v>2436</v>
      </c>
      <c r="ED127" t="s">
        <v>2966</v>
      </c>
      <c r="EE127" t="s">
        <v>3028</v>
      </c>
      <c r="ER127" t="s">
        <v>3510</v>
      </c>
      <c r="ES127" t="s">
        <v>3504</v>
      </c>
    </row>
    <row r="128" spans="124:149">
      <c r="DT128" t="s">
        <v>539</v>
      </c>
      <c r="DU128" t="s">
        <v>539</v>
      </c>
      <c r="DW128" t="s">
        <v>2437</v>
      </c>
      <c r="DX128" t="s">
        <v>2437</v>
      </c>
      <c r="ED128" t="s">
        <v>2967</v>
      </c>
      <c r="EE128" t="s">
        <v>2967</v>
      </c>
      <c r="ER128" t="s">
        <v>3510</v>
      </c>
      <c r="ES128" t="s">
        <v>3504</v>
      </c>
    </row>
    <row r="129" spans="124:149">
      <c r="DT129" t="s">
        <v>541</v>
      </c>
      <c r="DU129" t="s">
        <v>541</v>
      </c>
      <c r="DW129" t="s">
        <v>993</v>
      </c>
      <c r="DX129" t="s">
        <v>993</v>
      </c>
      <c r="ED129" t="s">
        <v>2968</v>
      </c>
      <c r="EE129" t="s">
        <v>2968</v>
      </c>
      <c r="ER129" t="s">
        <v>3511</v>
      </c>
      <c r="ES129" t="s">
        <v>3505</v>
      </c>
    </row>
    <row r="130" spans="124:149">
      <c r="DT130" t="s">
        <v>1664</v>
      </c>
      <c r="DU130" t="s">
        <v>1664</v>
      </c>
      <c r="DW130" t="s">
        <v>2438</v>
      </c>
      <c r="DX130" t="s">
        <v>2438</v>
      </c>
      <c r="ED130" t="s">
        <v>2969</v>
      </c>
      <c r="EE130" t="s">
        <v>2969</v>
      </c>
      <c r="ER130" t="s">
        <v>3511</v>
      </c>
      <c r="ES130" t="s">
        <v>3505</v>
      </c>
    </row>
    <row r="131" spans="124:149">
      <c r="DT131" t="s">
        <v>713</v>
      </c>
      <c r="DU131" t="s">
        <v>712</v>
      </c>
      <c r="DW131" t="s">
        <v>2439</v>
      </c>
      <c r="DX131" t="s">
        <v>2439</v>
      </c>
      <c r="ED131" t="s">
        <v>2970</v>
      </c>
      <c r="EE131" t="s">
        <v>2970</v>
      </c>
      <c r="ER131" t="s">
        <v>3511</v>
      </c>
      <c r="ES131" t="s">
        <v>3505</v>
      </c>
    </row>
    <row r="132" spans="124:149">
      <c r="DT132" t="s">
        <v>715</v>
      </c>
      <c r="DU132" t="s">
        <v>715</v>
      </c>
      <c r="DW132" t="s">
        <v>997</v>
      </c>
      <c r="DX132" t="s">
        <v>997</v>
      </c>
      <c r="ED132" t="s">
        <v>2971</v>
      </c>
      <c r="EE132" t="s">
        <v>2971</v>
      </c>
      <c r="ER132" t="s">
        <v>3511</v>
      </c>
      <c r="ES132" t="s">
        <v>3505</v>
      </c>
    </row>
    <row r="133" spans="124:149">
      <c r="DT133" t="s">
        <v>1654</v>
      </c>
      <c r="DU133" t="s">
        <v>1656</v>
      </c>
      <c r="DW133" t="s">
        <v>2440</v>
      </c>
      <c r="DX133" t="s">
        <v>2440</v>
      </c>
      <c r="ED133" t="s">
        <v>2972</v>
      </c>
      <c r="EE133" t="s">
        <v>2972</v>
      </c>
      <c r="ER133" t="s">
        <v>3512</v>
      </c>
      <c r="ES133" t="s">
        <v>3506</v>
      </c>
    </row>
    <row r="134" spans="124:149">
      <c r="DT134" t="s">
        <v>1425</v>
      </c>
      <c r="DU134" t="s">
        <v>1425</v>
      </c>
      <c r="DW134" t="s">
        <v>2441</v>
      </c>
      <c r="DX134" t="s">
        <v>2441</v>
      </c>
      <c r="ED134" t="s">
        <v>2973</v>
      </c>
      <c r="EE134" t="s">
        <v>2973</v>
      </c>
      <c r="ER134" t="s">
        <v>3512</v>
      </c>
      <c r="ES134" t="s">
        <v>3506</v>
      </c>
    </row>
    <row r="135" spans="124:149">
      <c r="DT135" t="s">
        <v>1426</v>
      </c>
      <c r="DU135" t="s">
        <v>1426</v>
      </c>
      <c r="DW135" t="s">
        <v>998</v>
      </c>
      <c r="DX135" t="s">
        <v>998</v>
      </c>
      <c r="ED135" t="s">
        <v>2974</v>
      </c>
      <c r="EE135" t="s">
        <v>2974</v>
      </c>
      <c r="ER135" t="s">
        <v>3512</v>
      </c>
      <c r="ES135" t="s">
        <v>3506</v>
      </c>
    </row>
    <row r="136" spans="124:149">
      <c r="DT136" t="s">
        <v>1427</v>
      </c>
      <c r="DU136" t="s">
        <v>1427</v>
      </c>
      <c r="DW136" t="s">
        <v>2442</v>
      </c>
      <c r="DX136" t="s">
        <v>2442</v>
      </c>
      <c r="ED136" t="s">
        <v>2975</v>
      </c>
      <c r="EE136" t="s">
        <v>2975</v>
      </c>
      <c r="ER136" t="s">
        <v>3512</v>
      </c>
      <c r="ES136" t="s">
        <v>3506</v>
      </c>
    </row>
    <row r="137" spans="124:149">
      <c r="DT137" t="s">
        <v>1428</v>
      </c>
      <c r="DU137" t="s">
        <v>1657</v>
      </c>
      <c r="DW137" t="s">
        <v>2813</v>
      </c>
      <c r="DX137" t="s">
        <v>2813</v>
      </c>
      <c r="ED137" t="s">
        <v>2976</v>
      </c>
      <c r="EE137" t="s">
        <v>2976</v>
      </c>
      <c r="ER137" t="s">
        <v>3512</v>
      </c>
      <c r="ES137" t="s">
        <v>3506</v>
      </c>
    </row>
    <row r="138" spans="124:149">
      <c r="DT138" t="s">
        <v>716</v>
      </c>
      <c r="DU138" t="s">
        <v>716</v>
      </c>
      <c r="DW138" t="s">
        <v>683</v>
      </c>
      <c r="DX138" t="s">
        <v>683</v>
      </c>
      <c r="ED138" t="s">
        <v>2977</v>
      </c>
      <c r="EE138" t="s">
        <v>2977</v>
      </c>
      <c r="ER138" t="s">
        <v>3513</v>
      </c>
      <c r="ES138" t="s">
        <v>3507</v>
      </c>
    </row>
    <row r="139" spans="124:149">
      <c r="DT139" t="s">
        <v>726</v>
      </c>
      <c r="DU139" t="s">
        <v>2456</v>
      </c>
      <c r="DW139" t="s">
        <v>2443</v>
      </c>
      <c r="DX139" t="s">
        <v>2443</v>
      </c>
      <c r="ED139" t="s">
        <v>4261</v>
      </c>
      <c r="EE139" t="s">
        <v>4261</v>
      </c>
      <c r="ER139" t="s">
        <v>3513</v>
      </c>
      <c r="ES139" t="s">
        <v>3507</v>
      </c>
    </row>
    <row r="140" spans="124:149">
      <c r="DT140" t="s">
        <v>727</v>
      </c>
      <c r="DU140" t="s">
        <v>727</v>
      </c>
      <c r="DW140" t="s">
        <v>999</v>
      </c>
      <c r="DX140" t="s">
        <v>999</v>
      </c>
      <c r="ED140" t="s">
        <v>2978</v>
      </c>
      <c r="EE140" t="s">
        <v>2978</v>
      </c>
      <c r="ER140" t="s">
        <v>3513</v>
      </c>
      <c r="ES140" t="s">
        <v>3507</v>
      </c>
    </row>
    <row r="141" spans="124:149">
      <c r="DT141" t="s">
        <v>619</v>
      </c>
      <c r="DU141" t="s">
        <v>719</v>
      </c>
      <c r="DW141" t="s">
        <v>2444</v>
      </c>
      <c r="DX141" t="s">
        <v>2444</v>
      </c>
      <c r="ED141" t="s">
        <v>2979</v>
      </c>
      <c r="EE141" t="s">
        <v>2979</v>
      </c>
      <c r="ER141" t="s">
        <v>3513</v>
      </c>
      <c r="ES141" t="s">
        <v>3507</v>
      </c>
    </row>
    <row r="142" spans="124:149">
      <c r="DT142" t="s">
        <v>1659</v>
      </c>
      <c r="DU142" t="s">
        <v>1658</v>
      </c>
      <c r="DW142" t="s">
        <v>1000</v>
      </c>
      <c r="DX142" t="s">
        <v>1000</v>
      </c>
      <c r="ED142" t="s">
        <v>2980</v>
      </c>
      <c r="EE142" t="s">
        <v>2980</v>
      </c>
      <c r="ER142" t="s">
        <v>3513</v>
      </c>
      <c r="ES142" t="s">
        <v>3507</v>
      </c>
    </row>
    <row r="143" spans="124:149">
      <c r="DT143" t="s">
        <v>1651</v>
      </c>
      <c r="DU143" t="s">
        <v>1650</v>
      </c>
      <c r="DW143" t="s">
        <v>2445</v>
      </c>
      <c r="DX143" t="s">
        <v>2445</v>
      </c>
      <c r="ED143" t="s">
        <v>2981</v>
      </c>
      <c r="EE143" t="s">
        <v>2981</v>
      </c>
      <c r="ER143" t="s">
        <v>3514</v>
      </c>
      <c r="ES143" t="s">
        <v>3508</v>
      </c>
    </row>
    <row r="144" spans="124:149">
      <c r="DT144" t="s">
        <v>1652</v>
      </c>
      <c r="DU144" t="s">
        <v>1652</v>
      </c>
      <c r="DW144" t="s">
        <v>2817</v>
      </c>
      <c r="DX144" t="s">
        <v>2817</v>
      </c>
      <c r="ED144" t="s">
        <v>2982</v>
      </c>
      <c r="EE144" t="s">
        <v>2982</v>
      </c>
      <c r="ER144" t="s">
        <v>3514</v>
      </c>
      <c r="ES144" t="s">
        <v>3508</v>
      </c>
    </row>
    <row r="145" spans="124:149">
      <c r="DT145" t="s">
        <v>720</v>
      </c>
      <c r="DU145" t="s">
        <v>720</v>
      </c>
      <c r="DW145" t="s">
        <v>1001</v>
      </c>
      <c r="DX145" t="s">
        <v>1001</v>
      </c>
      <c r="ED145" t="s">
        <v>2983</v>
      </c>
      <c r="EE145" t="s">
        <v>2983</v>
      </c>
      <c r="ER145" t="s">
        <v>3514</v>
      </c>
      <c r="ES145" t="s">
        <v>3508</v>
      </c>
    </row>
    <row r="146" spans="124:149">
      <c r="DT146" t="s">
        <v>721</v>
      </c>
      <c r="DU146" t="s">
        <v>721</v>
      </c>
      <c r="DW146" t="s">
        <v>1002</v>
      </c>
      <c r="DX146" t="s">
        <v>1002</v>
      </c>
      <c r="ED146" t="s">
        <v>2984</v>
      </c>
      <c r="EE146" t="s">
        <v>2984</v>
      </c>
      <c r="ER146" t="s">
        <v>3514</v>
      </c>
      <c r="ES146" t="s">
        <v>3508</v>
      </c>
    </row>
    <row r="147" spans="124:149">
      <c r="DT147" t="s">
        <v>722</v>
      </c>
      <c r="DU147" t="s">
        <v>722</v>
      </c>
      <c r="DW147" t="s">
        <v>2446</v>
      </c>
      <c r="DX147" t="s">
        <v>2446</v>
      </c>
      <c r="ED147" t="s">
        <v>2985</v>
      </c>
      <c r="EE147" t="s">
        <v>2985</v>
      </c>
      <c r="ER147" t="s">
        <v>3514</v>
      </c>
      <c r="ES147" t="s">
        <v>3508</v>
      </c>
    </row>
    <row r="148" spans="124:149">
      <c r="DT148" t="s">
        <v>723</v>
      </c>
      <c r="DU148" t="s">
        <v>723</v>
      </c>
      <c r="DW148" t="s">
        <v>1003</v>
      </c>
      <c r="DX148" t="s">
        <v>1003</v>
      </c>
      <c r="ED148" t="s">
        <v>2986</v>
      </c>
      <c r="EE148" t="s">
        <v>2986</v>
      </c>
      <c r="ER148" t="s">
        <v>4223</v>
      </c>
      <c r="ES148" t="s">
        <v>4215</v>
      </c>
    </row>
    <row r="149" spans="124:149">
      <c r="DT149" t="s">
        <v>725</v>
      </c>
      <c r="DU149" t="s">
        <v>725</v>
      </c>
      <c r="DW149" t="s">
        <v>2447</v>
      </c>
      <c r="DX149" t="s">
        <v>2447</v>
      </c>
      <c r="ED149" t="s">
        <v>2987</v>
      </c>
      <c r="EE149" t="s">
        <v>2987</v>
      </c>
      <c r="ER149" t="s">
        <v>4223</v>
      </c>
      <c r="ES149" t="s">
        <v>4215</v>
      </c>
    </row>
    <row r="150" spans="124:149">
      <c r="DT150" t="s">
        <v>61</v>
      </c>
      <c r="DU150" t="s">
        <v>61</v>
      </c>
      <c r="DW150" t="s">
        <v>691</v>
      </c>
      <c r="DX150" t="s">
        <v>691</v>
      </c>
      <c r="ED150" t="s">
        <v>2988</v>
      </c>
      <c r="EE150" t="s">
        <v>2988</v>
      </c>
      <c r="ER150" t="s">
        <v>4224</v>
      </c>
      <c r="ES150" t="s">
        <v>4216</v>
      </c>
    </row>
    <row r="151" spans="124:149">
      <c r="DT151" t="s">
        <v>62</v>
      </c>
      <c r="DU151" t="s">
        <v>62</v>
      </c>
      <c r="DW151" t="s">
        <v>2448</v>
      </c>
      <c r="DX151" t="s">
        <v>2448</v>
      </c>
      <c r="ED151" t="s">
        <v>2989</v>
      </c>
      <c r="EE151" t="s">
        <v>2989</v>
      </c>
      <c r="ER151" t="s">
        <v>4224</v>
      </c>
      <c r="ES151" t="s">
        <v>4216</v>
      </c>
    </row>
    <row r="152" spans="124:149">
      <c r="DT152" t="s">
        <v>45</v>
      </c>
      <c r="DU152" t="s">
        <v>45</v>
      </c>
      <c r="DW152" t="s">
        <v>1416</v>
      </c>
      <c r="DX152" t="s">
        <v>1416</v>
      </c>
      <c r="ED152" t="s">
        <v>2990</v>
      </c>
      <c r="EE152" t="s">
        <v>2990</v>
      </c>
      <c r="ER152" t="s">
        <v>4225</v>
      </c>
      <c r="ES152" t="s">
        <v>4217</v>
      </c>
    </row>
    <row r="153" spans="124:149">
      <c r="DT153" t="s">
        <v>51</v>
      </c>
      <c r="DU153" t="s">
        <v>51</v>
      </c>
      <c r="DW153" t="s">
        <v>2449</v>
      </c>
      <c r="DX153" t="s">
        <v>2449</v>
      </c>
      <c r="ED153" t="s">
        <v>2991</v>
      </c>
      <c r="EE153" t="s">
        <v>2991</v>
      </c>
      <c r="ER153" t="s">
        <v>4225</v>
      </c>
      <c r="ES153" t="s">
        <v>4217</v>
      </c>
    </row>
    <row r="154" spans="124:149">
      <c r="DT154" t="s">
        <v>52</v>
      </c>
      <c r="DU154" t="s">
        <v>52</v>
      </c>
      <c r="DW154" t="s">
        <v>2450</v>
      </c>
      <c r="DX154" t="s">
        <v>2450</v>
      </c>
      <c r="ED154" t="s">
        <v>2992</v>
      </c>
      <c r="EE154" t="s">
        <v>2992</v>
      </c>
      <c r="ER154" t="s">
        <v>4226</v>
      </c>
      <c r="ES154" t="s">
        <v>4218</v>
      </c>
    </row>
    <row r="155" spans="124:149">
      <c r="DT155" t="s">
        <v>53</v>
      </c>
      <c r="DU155" t="s">
        <v>53</v>
      </c>
      <c r="DW155" t="s">
        <v>2451</v>
      </c>
      <c r="DX155" t="s">
        <v>2451</v>
      </c>
      <c r="ED155" t="s">
        <v>2993</v>
      </c>
      <c r="EE155" t="s">
        <v>2993</v>
      </c>
      <c r="ER155" t="s">
        <v>4226</v>
      </c>
      <c r="ES155" t="s">
        <v>4218</v>
      </c>
    </row>
    <row r="156" spans="124:149">
      <c r="DT156" t="s">
        <v>46</v>
      </c>
      <c r="DU156" t="s">
        <v>46</v>
      </c>
      <c r="DW156" t="s">
        <v>3317</v>
      </c>
      <c r="DX156" t="s">
        <v>3317</v>
      </c>
      <c r="ED156" t="s">
        <v>2994</v>
      </c>
      <c r="EE156" t="s">
        <v>2994</v>
      </c>
      <c r="ER156" t="s">
        <v>4226</v>
      </c>
      <c r="ES156" t="s">
        <v>4218</v>
      </c>
    </row>
    <row r="157" spans="124:149">
      <c r="DT157" t="s">
        <v>56</v>
      </c>
      <c r="DU157" t="s">
        <v>56</v>
      </c>
      <c r="DW157" t="s">
        <v>3320</v>
      </c>
      <c r="DX157" t="s">
        <v>3320</v>
      </c>
      <c r="ED157" t="s">
        <v>2995</v>
      </c>
      <c r="EE157" t="s">
        <v>2995</v>
      </c>
      <c r="ER157" t="s">
        <v>4227</v>
      </c>
      <c r="ES157" t="s">
        <v>4219</v>
      </c>
    </row>
    <row r="158" spans="124:149">
      <c r="DT158" t="s">
        <v>60</v>
      </c>
      <c r="DU158" t="s">
        <v>60</v>
      </c>
      <c r="DW158" t="s">
        <v>1004</v>
      </c>
      <c r="DX158" t="s">
        <v>1004</v>
      </c>
      <c r="ED158" t="s">
        <v>2996</v>
      </c>
      <c r="EE158" t="s">
        <v>2996</v>
      </c>
      <c r="ER158" t="s">
        <v>4227</v>
      </c>
      <c r="ES158" t="s">
        <v>4219</v>
      </c>
    </row>
    <row r="159" spans="124:149">
      <c r="DT159" t="s">
        <v>63</v>
      </c>
      <c r="DU159" t="s">
        <v>63</v>
      </c>
      <c r="DW159" t="s">
        <v>2452</v>
      </c>
      <c r="DX159" t="s">
        <v>2452</v>
      </c>
      <c r="ED159" t="s">
        <v>2997</v>
      </c>
      <c r="EE159" t="s">
        <v>2997</v>
      </c>
      <c r="ER159" t="s">
        <v>4227</v>
      </c>
      <c r="ES159" t="s">
        <v>4219</v>
      </c>
    </row>
    <row r="160" spans="124:149">
      <c r="DT160" t="s">
        <v>65</v>
      </c>
      <c r="DU160" t="s">
        <v>65</v>
      </c>
      <c r="DW160" t="s">
        <v>2821</v>
      </c>
      <c r="DX160" t="s">
        <v>2821</v>
      </c>
      <c r="ED160" t="s">
        <v>2998</v>
      </c>
      <c r="EE160" t="s">
        <v>2998</v>
      </c>
      <c r="ER160" t="s">
        <v>4228</v>
      </c>
      <c r="ES160" t="s">
        <v>4220</v>
      </c>
    </row>
    <row r="161" spans="124:149">
      <c r="DT161" t="s">
        <v>64</v>
      </c>
      <c r="DU161" t="s">
        <v>64</v>
      </c>
      <c r="DW161" t="s">
        <v>2453</v>
      </c>
      <c r="DX161" t="s">
        <v>2453</v>
      </c>
      <c r="ED161" t="s">
        <v>2999</v>
      </c>
      <c r="EE161" t="s">
        <v>2999</v>
      </c>
      <c r="ER161" t="s">
        <v>4228</v>
      </c>
      <c r="ES161" t="s">
        <v>4220</v>
      </c>
    </row>
    <row r="162" spans="124:149">
      <c r="DT162" t="s">
        <v>1006</v>
      </c>
      <c r="DU162" t="s">
        <v>1006</v>
      </c>
      <c r="DW162" t="s">
        <v>2454</v>
      </c>
      <c r="DX162" t="s">
        <v>2454</v>
      </c>
      <c r="ED162" t="s">
        <v>3000</v>
      </c>
      <c r="EE162" t="s">
        <v>3000</v>
      </c>
      <c r="ER162" t="s">
        <v>4228</v>
      </c>
      <c r="ES162" t="s">
        <v>4220</v>
      </c>
    </row>
    <row r="163" spans="124:149">
      <c r="DT163" t="s">
        <v>47</v>
      </c>
      <c r="DU163" t="s">
        <v>47</v>
      </c>
      <c r="DW163" t="s">
        <v>2455</v>
      </c>
      <c r="DX163" t="s">
        <v>2455</v>
      </c>
      <c r="ED163" t="s">
        <v>3001</v>
      </c>
      <c r="EE163" t="s">
        <v>3001</v>
      </c>
      <c r="ER163" t="s">
        <v>3491</v>
      </c>
      <c r="ES163" t="s">
        <v>3479</v>
      </c>
    </row>
    <row r="164" spans="124:149">
      <c r="DT164" t="s">
        <v>74</v>
      </c>
      <c r="DU164" t="s">
        <v>74</v>
      </c>
      <c r="DW164" t="s">
        <v>2352</v>
      </c>
      <c r="DX164" t="s">
        <v>2352</v>
      </c>
      <c r="ED164" t="s">
        <v>3002</v>
      </c>
      <c r="EE164" t="s">
        <v>3002</v>
      </c>
      <c r="ER164" t="s">
        <v>3491</v>
      </c>
      <c r="ES164" t="s">
        <v>3479</v>
      </c>
    </row>
    <row r="165" spans="124:149">
      <c r="DT165" t="s">
        <v>76</v>
      </c>
      <c r="DU165" t="s">
        <v>76</v>
      </c>
      <c r="DW165" t="s">
        <v>707</v>
      </c>
      <c r="DX165" t="s">
        <v>707</v>
      </c>
      <c r="ED165" t="s">
        <v>3003</v>
      </c>
      <c r="EE165" t="s">
        <v>3003</v>
      </c>
      <c r="ER165" t="s">
        <v>3491</v>
      </c>
      <c r="ES165" t="s">
        <v>3479</v>
      </c>
    </row>
    <row r="166" spans="124:149">
      <c r="DT166" t="s">
        <v>72</v>
      </c>
      <c r="DU166" t="s">
        <v>72</v>
      </c>
      <c r="DW166" t="s">
        <v>2314</v>
      </c>
      <c r="DX166" t="s">
        <v>2314</v>
      </c>
      <c r="ED166" t="s">
        <v>3004</v>
      </c>
      <c r="EE166" t="s">
        <v>3004</v>
      </c>
      <c r="ER166" t="s">
        <v>3491</v>
      </c>
      <c r="ES166" t="s">
        <v>3479</v>
      </c>
    </row>
    <row r="167" spans="124:149">
      <c r="DT167" t="s">
        <v>69</v>
      </c>
      <c r="DU167" t="s">
        <v>69</v>
      </c>
      <c r="DW167" t="s">
        <v>2355</v>
      </c>
      <c r="DX167" t="s">
        <v>2355</v>
      </c>
      <c r="ED167" t="s">
        <v>3005</v>
      </c>
      <c r="EE167" t="s">
        <v>3005</v>
      </c>
      <c r="ER167" t="s">
        <v>3492</v>
      </c>
      <c r="ES167" t="s">
        <v>3480</v>
      </c>
    </row>
    <row r="168" spans="124:149">
      <c r="DT168" t="s">
        <v>73</v>
      </c>
      <c r="DU168" t="s">
        <v>73</v>
      </c>
      <c r="DW168" t="s">
        <v>3358</v>
      </c>
      <c r="DX168" t="s">
        <v>3358</v>
      </c>
      <c r="ED168" t="s">
        <v>3006</v>
      </c>
      <c r="EE168" t="s">
        <v>3006</v>
      </c>
      <c r="ER168" t="s">
        <v>3492</v>
      </c>
      <c r="ES168" t="s">
        <v>3480</v>
      </c>
    </row>
    <row r="169" spans="124:149">
      <c r="DT169" t="s">
        <v>71</v>
      </c>
      <c r="DU169" t="s">
        <v>71</v>
      </c>
      <c r="DW169" t="s">
        <v>3157</v>
      </c>
      <c r="DX169" t="s">
        <v>3157</v>
      </c>
      <c r="ED169" t="s">
        <v>3007</v>
      </c>
      <c r="EE169" t="s">
        <v>3007</v>
      </c>
      <c r="ER169" t="s">
        <v>3493</v>
      </c>
      <c r="ES169" t="s">
        <v>3481</v>
      </c>
    </row>
    <row r="170" spans="124:149">
      <c r="DT170" t="s">
        <v>70</v>
      </c>
      <c r="DU170" t="s">
        <v>70</v>
      </c>
      <c r="DW170" t="s">
        <v>2359</v>
      </c>
      <c r="DX170" t="s">
        <v>2359</v>
      </c>
      <c r="ED170" t="s">
        <v>3008</v>
      </c>
      <c r="EE170" t="s">
        <v>3008</v>
      </c>
      <c r="ER170" t="s">
        <v>3493</v>
      </c>
      <c r="ES170" t="s">
        <v>3481</v>
      </c>
    </row>
    <row r="171" spans="124:149">
      <c r="DT171" t="s">
        <v>620</v>
      </c>
      <c r="DU171" t="s">
        <v>539</v>
      </c>
      <c r="DW171" t="s">
        <v>3367</v>
      </c>
      <c r="DX171" t="s">
        <v>3367</v>
      </c>
      <c r="ED171" t="s">
        <v>3009</v>
      </c>
      <c r="EE171" t="s">
        <v>3009</v>
      </c>
      <c r="ER171" t="s">
        <v>3494</v>
      </c>
      <c r="ES171" t="s">
        <v>3482</v>
      </c>
    </row>
    <row r="172" spans="124:149">
      <c r="DT172" t="s">
        <v>622</v>
      </c>
      <c r="DU172" t="s">
        <v>541</v>
      </c>
      <c r="DW172" t="s">
        <v>3368</v>
      </c>
      <c r="DX172" t="s">
        <v>3368</v>
      </c>
      <c r="ED172" t="s">
        <v>3010</v>
      </c>
      <c r="EE172" t="s">
        <v>3010</v>
      </c>
      <c r="ER172" t="s">
        <v>3494</v>
      </c>
      <c r="ES172" t="s">
        <v>3482</v>
      </c>
    </row>
    <row r="173" spans="124:149">
      <c r="DT173" t="s">
        <v>1665</v>
      </c>
      <c r="DU173" t="s">
        <v>1664</v>
      </c>
      <c r="DW173" t="s">
        <v>3369</v>
      </c>
      <c r="DX173" t="s">
        <v>3369</v>
      </c>
      <c r="ED173" t="s">
        <v>3011</v>
      </c>
      <c r="EE173" t="s">
        <v>3011</v>
      </c>
      <c r="ER173" t="s">
        <v>3494</v>
      </c>
      <c r="ES173" t="s">
        <v>3482</v>
      </c>
    </row>
    <row r="174" spans="124:149">
      <c r="DT174" t="s">
        <v>2577</v>
      </c>
      <c r="DU174" t="s">
        <v>712</v>
      </c>
      <c r="DW174" t="s">
        <v>2825</v>
      </c>
      <c r="DX174" t="s">
        <v>2825</v>
      </c>
      <c r="ED174" t="s">
        <v>3012</v>
      </c>
      <c r="EE174" t="s">
        <v>3012</v>
      </c>
      <c r="ER174" t="s">
        <v>3494</v>
      </c>
      <c r="ES174" t="s">
        <v>3482</v>
      </c>
    </row>
    <row r="175" spans="124:149">
      <c r="DT175" t="s">
        <v>715</v>
      </c>
      <c r="DU175" t="s">
        <v>715</v>
      </c>
      <c r="DW175" t="s">
        <v>984</v>
      </c>
      <c r="DX175" t="s">
        <v>984</v>
      </c>
      <c r="ED175" t="s">
        <v>3013</v>
      </c>
      <c r="EE175" t="s">
        <v>3013</v>
      </c>
      <c r="ER175" t="s">
        <v>3495</v>
      </c>
      <c r="ES175" t="s">
        <v>3483</v>
      </c>
    </row>
    <row r="176" spans="124:149">
      <c r="DT176" t="s">
        <v>1737</v>
      </c>
      <c r="DU176" t="s">
        <v>1656</v>
      </c>
      <c r="DW176" t="s">
        <v>1393</v>
      </c>
      <c r="DX176" t="s">
        <v>1402</v>
      </c>
      <c r="ED176" t="s">
        <v>3014</v>
      </c>
      <c r="EE176" t="s">
        <v>3014</v>
      </c>
      <c r="ER176" t="s">
        <v>3495</v>
      </c>
      <c r="ES176" t="s">
        <v>3483</v>
      </c>
    </row>
    <row r="177" spans="124:149">
      <c r="DT177" t="s">
        <v>1738</v>
      </c>
      <c r="DU177" t="s">
        <v>1425</v>
      </c>
      <c r="DW177" t="s">
        <v>1618</v>
      </c>
      <c r="DX177" t="s">
        <v>2432</v>
      </c>
      <c r="ED177" t="s">
        <v>3015</v>
      </c>
      <c r="EE177" t="s">
        <v>3015</v>
      </c>
      <c r="ER177" t="s">
        <v>3495</v>
      </c>
      <c r="ES177" t="s">
        <v>3483</v>
      </c>
    </row>
    <row r="178" spans="124:149">
      <c r="DT178" t="s">
        <v>1426</v>
      </c>
      <c r="DU178" t="s">
        <v>1426</v>
      </c>
      <c r="DW178" t="s">
        <v>1622</v>
      </c>
      <c r="DX178" t="s">
        <v>2433</v>
      </c>
      <c r="ED178" t="s">
        <v>3016</v>
      </c>
      <c r="EE178" t="s">
        <v>3016</v>
      </c>
      <c r="ER178" t="s">
        <v>3496</v>
      </c>
      <c r="ES178" t="s">
        <v>3484</v>
      </c>
    </row>
    <row r="179" spans="124:149">
      <c r="DT179" t="s">
        <v>1427</v>
      </c>
      <c r="DU179" t="s">
        <v>1427</v>
      </c>
      <c r="DW179" t="s">
        <v>1404</v>
      </c>
      <c r="DX179" t="s">
        <v>1394</v>
      </c>
      <c r="ED179" t="s">
        <v>3017</v>
      </c>
      <c r="EE179" t="s">
        <v>3017</v>
      </c>
      <c r="ER179" t="s">
        <v>3496</v>
      </c>
      <c r="ES179" t="s">
        <v>3484</v>
      </c>
    </row>
    <row r="180" spans="124:149">
      <c r="DT180" t="s">
        <v>1739</v>
      </c>
      <c r="DU180" t="s">
        <v>1657</v>
      </c>
      <c r="DW180" t="s">
        <v>988</v>
      </c>
      <c r="DX180" t="s">
        <v>2434</v>
      </c>
      <c r="ED180" t="s">
        <v>3018</v>
      </c>
      <c r="EE180" t="s">
        <v>3018</v>
      </c>
      <c r="ER180" t="s">
        <v>3496</v>
      </c>
      <c r="ES180" t="s">
        <v>3484</v>
      </c>
    </row>
    <row r="181" spans="124:149">
      <c r="DT181" t="s">
        <v>2636</v>
      </c>
      <c r="DU181" t="s">
        <v>716</v>
      </c>
      <c r="DW181" t="s">
        <v>1610</v>
      </c>
      <c r="DX181" t="s">
        <v>2435</v>
      </c>
      <c r="ED181" t="s">
        <v>3019</v>
      </c>
      <c r="EE181" t="s">
        <v>3019</v>
      </c>
      <c r="ER181" t="s">
        <v>4229</v>
      </c>
      <c r="ES181" t="s">
        <v>4213</v>
      </c>
    </row>
    <row r="182" spans="124:149">
      <c r="DT182" t="s">
        <v>1741</v>
      </c>
      <c r="DU182" t="s">
        <v>2456</v>
      </c>
      <c r="DW182" t="s">
        <v>2810</v>
      </c>
      <c r="DX182" t="s">
        <v>2809</v>
      </c>
      <c r="ED182" t="s">
        <v>3020</v>
      </c>
      <c r="EE182" t="s">
        <v>3020</v>
      </c>
      <c r="ER182" t="s">
        <v>4230</v>
      </c>
      <c r="ES182" t="s">
        <v>4214</v>
      </c>
    </row>
    <row r="183" spans="124:149">
      <c r="DT183" t="s">
        <v>1742</v>
      </c>
      <c r="DU183" t="s">
        <v>727</v>
      </c>
      <c r="DW183" t="s">
        <v>992</v>
      </c>
      <c r="DX183" t="s">
        <v>991</v>
      </c>
      <c r="ED183" t="s">
        <v>3021</v>
      </c>
      <c r="EE183" t="s">
        <v>3021</v>
      </c>
      <c r="ER183" t="s">
        <v>4230</v>
      </c>
      <c r="ES183" t="s">
        <v>4214</v>
      </c>
    </row>
    <row r="184" spans="124:149">
      <c r="DT184" t="s">
        <v>1743</v>
      </c>
      <c r="DU184" t="s">
        <v>719</v>
      </c>
      <c r="DW184" t="s">
        <v>1408</v>
      </c>
      <c r="DX184" t="s">
        <v>1407</v>
      </c>
      <c r="ED184" t="s">
        <v>3022</v>
      </c>
      <c r="EE184" t="s">
        <v>3022</v>
      </c>
      <c r="ER184" t="s">
        <v>3515</v>
      </c>
      <c r="ES184" t="s">
        <v>3503</v>
      </c>
    </row>
    <row r="185" spans="124:149">
      <c r="DT185" t="s">
        <v>1744</v>
      </c>
      <c r="DU185" t="s">
        <v>1658</v>
      </c>
      <c r="DW185" t="s">
        <v>617</v>
      </c>
      <c r="DX185" t="s">
        <v>2436</v>
      </c>
      <c r="ED185" t="s">
        <v>3023</v>
      </c>
      <c r="EE185" t="s">
        <v>3023</v>
      </c>
      <c r="ER185" t="s">
        <v>3515</v>
      </c>
      <c r="ES185" t="s">
        <v>3503</v>
      </c>
    </row>
    <row r="186" spans="124:149">
      <c r="DT186" t="s">
        <v>2637</v>
      </c>
      <c r="DU186" t="s">
        <v>1650</v>
      </c>
      <c r="DW186" t="s">
        <v>618</v>
      </c>
      <c r="DX186" t="s">
        <v>2437</v>
      </c>
      <c r="ED186" t="s">
        <v>3024</v>
      </c>
      <c r="EE186" t="s">
        <v>3024</v>
      </c>
      <c r="ER186" t="s">
        <v>3515</v>
      </c>
      <c r="ES186" t="s">
        <v>3503</v>
      </c>
    </row>
    <row r="187" spans="124:149">
      <c r="DT187" t="s">
        <v>1652</v>
      </c>
      <c r="DU187" t="s">
        <v>1652</v>
      </c>
      <c r="DW187" t="s">
        <v>993</v>
      </c>
      <c r="DX187" t="s">
        <v>993</v>
      </c>
      <c r="ED187" t="s">
        <v>3025</v>
      </c>
      <c r="EE187" t="s">
        <v>3025</v>
      </c>
      <c r="ER187" t="s">
        <v>3515</v>
      </c>
      <c r="ES187" t="s">
        <v>3503</v>
      </c>
    </row>
    <row r="188" spans="124:149">
      <c r="DT188" t="s">
        <v>720</v>
      </c>
      <c r="DU188" t="s">
        <v>720</v>
      </c>
      <c r="DW188" t="s">
        <v>1644</v>
      </c>
      <c r="DX188" t="s">
        <v>2438</v>
      </c>
      <c r="ED188" t="s">
        <v>3026</v>
      </c>
      <c r="EE188" t="s">
        <v>3026</v>
      </c>
      <c r="ER188" t="s">
        <v>3516</v>
      </c>
      <c r="ES188" t="s">
        <v>3504</v>
      </c>
    </row>
    <row r="189" spans="124:149">
      <c r="DT189" t="s">
        <v>2518</v>
      </c>
      <c r="DU189" t="s">
        <v>721</v>
      </c>
      <c r="DW189" t="s">
        <v>996</v>
      </c>
      <c r="DX189" t="s">
        <v>2439</v>
      </c>
      <c r="ED189" t="s">
        <v>3027</v>
      </c>
      <c r="EE189" t="s">
        <v>3027</v>
      </c>
      <c r="ER189" t="s">
        <v>3516</v>
      </c>
      <c r="ES189" t="s">
        <v>3504</v>
      </c>
    </row>
    <row r="190" spans="124:149">
      <c r="DT190" t="s">
        <v>722</v>
      </c>
      <c r="DU190" t="s">
        <v>722</v>
      </c>
      <c r="DW190" t="s">
        <v>997</v>
      </c>
      <c r="DX190" t="s">
        <v>997</v>
      </c>
      <c r="ED190" t="s">
        <v>3028</v>
      </c>
      <c r="EE190" t="s">
        <v>3028</v>
      </c>
      <c r="ER190" t="s">
        <v>3516</v>
      </c>
      <c r="ES190" t="s">
        <v>3504</v>
      </c>
    </row>
    <row r="191" spans="124:149">
      <c r="DT191" t="s">
        <v>1749</v>
      </c>
      <c r="DU191" t="s">
        <v>723</v>
      </c>
      <c r="DW191" t="s">
        <v>1590</v>
      </c>
      <c r="DX191" t="s">
        <v>2440</v>
      </c>
      <c r="ED191" t="s">
        <v>3029</v>
      </c>
      <c r="EE191" t="s">
        <v>2967</v>
      </c>
      <c r="ER191" t="s">
        <v>3516</v>
      </c>
      <c r="ES191" t="s">
        <v>3504</v>
      </c>
    </row>
    <row r="192" spans="124:149">
      <c r="DT192" t="s">
        <v>725</v>
      </c>
      <c r="DU192" t="s">
        <v>725</v>
      </c>
      <c r="DW192" t="s">
        <v>1639</v>
      </c>
      <c r="DX192" t="s">
        <v>2441</v>
      </c>
      <c r="ED192" t="s">
        <v>3030</v>
      </c>
      <c r="EE192" t="s">
        <v>2968</v>
      </c>
      <c r="ER192" t="s">
        <v>3517</v>
      </c>
      <c r="ES192" t="s">
        <v>3505</v>
      </c>
    </row>
    <row r="193" spans="124:149">
      <c r="DT193" t="s">
        <v>61</v>
      </c>
      <c r="DU193" t="s">
        <v>61</v>
      </c>
      <c r="DW193" t="s">
        <v>998</v>
      </c>
      <c r="DX193" t="s">
        <v>998</v>
      </c>
      <c r="ED193" t="s">
        <v>3031</v>
      </c>
      <c r="EE193" t="s">
        <v>2969</v>
      </c>
      <c r="ER193" t="s">
        <v>3517</v>
      </c>
      <c r="ES193" t="s">
        <v>3505</v>
      </c>
    </row>
    <row r="194" spans="124:149">
      <c r="DT194" t="s">
        <v>62</v>
      </c>
      <c r="DU194" t="s">
        <v>62</v>
      </c>
      <c r="DW194" t="s">
        <v>1602</v>
      </c>
      <c r="DX194" t="s">
        <v>2442</v>
      </c>
      <c r="ED194" t="s">
        <v>3032</v>
      </c>
      <c r="EE194" t="s">
        <v>2970</v>
      </c>
      <c r="ER194" t="s">
        <v>3517</v>
      </c>
      <c r="ES194" t="s">
        <v>3505</v>
      </c>
    </row>
    <row r="195" spans="124:149">
      <c r="DT195" t="s">
        <v>45</v>
      </c>
      <c r="DU195" t="s">
        <v>45</v>
      </c>
      <c r="DW195" t="s">
        <v>2814</v>
      </c>
      <c r="DX195" t="s">
        <v>2813</v>
      </c>
      <c r="ED195" t="s">
        <v>3033</v>
      </c>
      <c r="EE195" t="s">
        <v>2971</v>
      </c>
      <c r="ER195" t="s">
        <v>3517</v>
      </c>
      <c r="ES195" t="s">
        <v>3505</v>
      </c>
    </row>
    <row r="196" spans="124:149">
      <c r="DT196" t="s">
        <v>51</v>
      </c>
      <c r="DU196" t="s">
        <v>51</v>
      </c>
      <c r="DW196" t="s">
        <v>684</v>
      </c>
      <c r="DX196" t="s">
        <v>683</v>
      </c>
      <c r="ED196" t="s">
        <v>3034</v>
      </c>
      <c r="EE196" t="s">
        <v>2972</v>
      </c>
      <c r="ER196" t="s">
        <v>3518</v>
      </c>
      <c r="ES196" t="s">
        <v>3506</v>
      </c>
    </row>
    <row r="197" spans="124:149">
      <c r="DT197" t="s">
        <v>52</v>
      </c>
      <c r="DU197" t="s">
        <v>52</v>
      </c>
      <c r="DW197" t="s">
        <v>680</v>
      </c>
      <c r="DX197" t="s">
        <v>2443</v>
      </c>
      <c r="ED197" t="s">
        <v>3035</v>
      </c>
      <c r="EE197" t="s">
        <v>2973</v>
      </c>
      <c r="ER197" t="s">
        <v>3518</v>
      </c>
      <c r="ES197" t="s">
        <v>3506</v>
      </c>
    </row>
    <row r="198" spans="124:149">
      <c r="DT198" t="s">
        <v>53</v>
      </c>
      <c r="DU198" t="s">
        <v>53</v>
      </c>
      <c r="DW198" t="s">
        <v>999</v>
      </c>
      <c r="DX198" t="s">
        <v>999</v>
      </c>
      <c r="ED198" t="s">
        <v>3036</v>
      </c>
      <c r="EE198" t="s">
        <v>2974</v>
      </c>
      <c r="ER198" t="s">
        <v>3518</v>
      </c>
      <c r="ES198" t="s">
        <v>3506</v>
      </c>
    </row>
    <row r="199" spans="124:149">
      <c r="DT199" t="s">
        <v>46</v>
      </c>
      <c r="DU199" t="s">
        <v>46</v>
      </c>
      <c r="DW199" t="s">
        <v>2224</v>
      </c>
      <c r="DX199" t="s">
        <v>2444</v>
      </c>
      <c r="ED199" t="s">
        <v>3037</v>
      </c>
      <c r="EE199" t="s">
        <v>2975</v>
      </c>
      <c r="ER199" t="s">
        <v>3518</v>
      </c>
      <c r="ES199" t="s">
        <v>3506</v>
      </c>
    </row>
    <row r="200" spans="124:149">
      <c r="DT200" t="s">
        <v>56</v>
      </c>
      <c r="DU200" t="s">
        <v>56</v>
      </c>
      <c r="DW200" t="s">
        <v>1000</v>
      </c>
      <c r="DX200" t="s">
        <v>1000</v>
      </c>
      <c r="ED200" t="s">
        <v>3038</v>
      </c>
      <c r="EE200" t="s">
        <v>2976</v>
      </c>
      <c r="ER200" t="s">
        <v>3518</v>
      </c>
      <c r="ES200" t="s">
        <v>3506</v>
      </c>
    </row>
    <row r="201" spans="124:149">
      <c r="DT201" t="s">
        <v>60</v>
      </c>
      <c r="DU201" t="s">
        <v>60</v>
      </c>
      <c r="DW201" t="s">
        <v>1594</v>
      </c>
      <c r="DX201" t="s">
        <v>2445</v>
      </c>
      <c r="ED201" t="s">
        <v>3039</v>
      </c>
      <c r="EE201" t="s">
        <v>2977</v>
      </c>
      <c r="ER201" t="s">
        <v>3519</v>
      </c>
      <c r="ES201" t="s">
        <v>3507</v>
      </c>
    </row>
    <row r="202" spans="124:149">
      <c r="DT202" t="s">
        <v>63</v>
      </c>
      <c r="DU202" t="s">
        <v>63</v>
      </c>
      <c r="DW202" t="s">
        <v>2818</v>
      </c>
      <c r="DX202" t="s">
        <v>2817</v>
      </c>
      <c r="ED202" t="s">
        <v>3040</v>
      </c>
      <c r="EE202" t="s">
        <v>4261</v>
      </c>
      <c r="ER202" t="s">
        <v>3519</v>
      </c>
      <c r="ES202" t="s">
        <v>3507</v>
      </c>
    </row>
    <row r="203" spans="124:149">
      <c r="DT203" t="s">
        <v>65</v>
      </c>
      <c r="DU203" t="s">
        <v>65</v>
      </c>
      <c r="DW203" t="s">
        <v>1001</v>
      </c>
      <c r="DX203" t="s">
        <v>1001</v>
      </c>
      <c r="ED203" t="s">
        <v>3041</v>
      </c>
      <c r="EE203" t="s">
        <v>2978</v>
      </c>
      <c r="ER203" t="s">
        <v>3519</v>
      </c>
      <c r="ES203" t="s">
        <v>3507</v>
      </c>
    </row>
    <row r="204" spans="124:149">
      <c r="DT204" t="s">
        <v>64</v>
      </c>
      <c r="DU204" t="s">
        <v>64</v>
      </c>
      <c r="DW204" t="s">
        <v>1002</v>
      </c>
      <c r="DX204" t="s">
        <v>1002</v>
      </c>
      <c r="ED204" t="s">
        <v>3042</v>
      </c>
      <c r="EE204" t="s">
        <v>2979</v>
      </c>
      <c r="ER204" t="s">
        <v>3519</v>
      </c>
      <c r="ES204" t="s">
        <v>3507</v>
      </c>
    </row>
    <row r="205" spans="124:149">
      <c r="DT205" t="s">
        <v>1006</v>
      </c>
      <c r="DU205" t="s">
        <v>1006</v>
      </c>
      <c r="DW205" t="s">
        <v>2226</v>
      </c>
      <c r="DX205" t="s">
        <v>2446</v>
      </c>
      <c r="ED205" t="s">
        <v>3043</v>
      </c>
      <c r="EE205" t="s">
        <v>2980</v>
      </c>
      <c r="ER205" t="s">
        <v>3519</v>
      </c>
      <c r="ES205" t="s">
        <v>3507</v>
      </c>
    </row>
    <row r="206" spans="124:149">
      <c r="DT206" t="s">
        <v>47</v>
      </c>
      <c r="DU206" t="s">
        <v>47</v>
      </c>
      <c r="DW206" t="s">
        <v>1003</v>
      </c>
      <c r="DX206" t="s">
        <v>1003</v>
      </c>
      <c r="ED206" t="s">
        <v>3044</v>
      </c>
      <c r="EE206" t="s">
        <v>2981</v>
      </c>
      <c r="ER206" t="s">
        <v>3520</v>
      </c>
      <c r="ES206" t="s">
        <v>3508</v>
      </c>
    </row>
    <row r="207" spans="124:149">
      <c r="DT207" t="s">
        <v>74</v>
      </c>
      <c r="DU207" t="s">
        <v>74</v>
      </c>
      <c r="DW207" t="s">
        <v>695</v>
      </c>
      <c r="DX207" t="s">
        <v>2447</v>
      </c>
      <c r="ED207" t="s">
        <v>3045</v>
      </c>
      <c r="EE207" t="s">
        <v>2982</v>
      </c>
      <c r="ER207" t="s">
        <v>3520</v>
      </c>
      <c r="ES207" t="s">
        <v>3508</v>
      </c>
    </row>
    <row r="208" spans="124:149">
      <c r="DT208" t="s">
        <v>76</v>
      </c>
      <c r="DU208" t="s">
        <v>76</v>
      </c>
      <c r="DW208" t="s">
        <v>692</v>
      </c>
      <c r="DX208" t="s">
        <v>691</v>
      </c>
      <c r="ED208" t="s">
        <v>3046</v>
      </c>
      <c r="EE208" t="s">
        <v>2983</v>
      </c>
      <c r="ER208" t="s">
        <v>3520</v>
      </c>
      <c r="ES208" t="s">
        <v>3508</v>
      </c>
    </row>
    <row r="209" spans="124:149">
      <c r="DT209" t="s">
        <v>72</v>
      </c>
      <c r="DU209" t="s">
        <v>72</v>
      </c>
      <c r="DW209" t="s">
        <v>1578</v>
      </c>
      <c r="DX209" t="s">
        <v>2448</v>
      </c>
      <c r="ED209" t="s">
        <v>3047</v>
      </c>
      <c r="EE209" t="s">
        <v>2984</v>
      </c>
      <c r="ER209" t="s">
        <v>3520</v>
      </c>
      <c r="ES209" t="s">
        <v>3508</v>
      </c>
    </row>
    <row r="210" spans="124:149">
      <c r="DT210" t="s">
        <v>69</v>
      </c>
      <c r="DU210" t="s">
        <v>69</v>
      </c>
      <c r="DW210" t="s">
        <v>1417</v>
      </c>
      <c r="DX210" t="s">
        <v>1416</v>
      </c>
      <c r="ED210" t="s">
        <v>3048</v>
      </c>
      <c r="EE210" t="s">
        <v>2985</v>
      </c>
      <c r="ER210" t="s">
        <v>3520</v>
      </c>
      <c r="ES210" t="s">
        <v>3508</v>
      </c>
    </row>
    <row r="211" spans="124:149">
      <c r="DT211" t="s">
        <v>73</v>
      </c>
      <c r="DU211" t="s">
        <v>73</v>
      </c>
      <c r="DW211" t="s">
        <v>688</v>
      </c>
      <c r="DX211" t="s">
        <v>2449</v>
      </c>
      <c r="ED211" t="s">
        <v>3049</v>
      </c>
      <c r="EE211" t="s">
        <v>2986</v>
      </c>
      <c r="ER211" t="s">
        <v>4231</v>
      </c>
      <c r="ES211" t="s">
        <v>4215</v>
      </c>
    </row>
    <row r="212" spans="124:149">
      <c r="DT212" t="s">
        <v>71</v>
      </c>
      <c r="DU212" t="s">
        <v>71</v>
      </c>
      <c r="DW212" t="s">
        <v>698</v>
      </c>
      <c r="DX212" t="s">
        <v>2450</v>
      </c>
      <c r="ED212" t="s">
        <v>3050</v>
      </c>
      <c r="EE212" t="s">
        <v>2987</v>
      </c>
      <c r="ER212" t="s">
        <v>4231</v>
      </c>
      <c r="ES212" t="s">
        <v>4215</v>
      </c>
    </row>
    <row r="213" spans="124:149">
      <c r="DT213" t="s">
        <v>70</v>
      </c>
      <c r="DU213" t="s">
        <v>70</v>
      </c>
      <c r="DW213" t="s">
        <v>1422</v>
      </c>
      <c r="DX213" t="s">
        <v>2451</v>
      </c>
      <c r="ED213" t="s">
        <v>3051</v>
      </c>
      <c r="EE213" t="s">
        <v>2988</v>
      </c>
      <c r="ER213" t="s">
        <v>4232</v>
      </c>
      <c r="ES213" t="s">
        <v>4216</v>
      </c>
    </row>
    <row r="214" spans="124:149">
      <c r="DT214" t="s">
        <v>1752</v>
      </c>
      <c r="DU214" t="s">
        <v>539</v>
      </c>
      <c r="DW214" t="s">
        <v>3317</v>
      </c>
      <c r="DX214" t="s">
        <v>3317</v>
      </c>
      <c r="ED214" t="s">
        <v>3052</v>
      </c>
      <c r="EE214" t="s">
        <v>2989</v>
      </c>
      <c r="ER214" t="s">
        <v>4232</v>
      </c>
      <c r="ES214" t="s">
        <v>4216</v>
      </c>
    </row>
    <row r="215" spans="124:149">
      <c r="DT215" t="s">
        <v>1753</v>
      </c>
      <c r="DU215" t="s">
        <v>541</v>
      </c>
      <c r="DW215" t="s">
        <v>3321</v>
      </c>
      <c r="DX215" t="s">
        <v>3320</v>
      </c>
      <c r="ED215" t="s">
        <v>3053</v>
      </c>
      <c r="EE215" t="s">
        <v>2990</v>
      </c>
      <c r="ER215" t="s">
        <v>4233</v>
      </c>
      <c r="ES215" t="s">
        <v>4217</v>
      </c>
    </row>
    <row r="216" spans="124:149">
      <c r="DT216" t="s">
        <v>2519</v>
      </c>
      <c r="DU216" t="s">
        <v>1664</v>
      </c>
      <c r="DW216" t="s">
        <v>1004</v>
      </c>
      <c r="DX216" t="s">
        <v>1004</v>
      </c>
      <c r="ED216" t="s">
        <v>3054</v>
      </c>
      <c r="EE216" t="s">
        <v>2991</v>
      </c>
      <c r="ER216" t="s">
        <v>4233</v>
      </c>
      <c r="ES216" t="s">
        <v>4217</v>
      </c>
    </row>
    <row r="217" spans="124:149">
      <c r="DT217" t="s">
        <v>3169</v>
      </c>
      <c r="DU217" t="s">
        <v>3169</v>
      </c>
      <c r="DW217" t="s">
        <v>1586</v>
      </c>
      <c r="DX217" t="s">
        <v>2452</v>
      </c>
      <c r="ED217" t="s">
        <v>3055</v>
      </c>
      <c r="EE217" t="s">
        <v>2992</v>
      </c>
      <c r="ER217" t="s">
        <v>4234</v>
      </c>
      <c r="ES217" t="s">
        <v>4218</v>
      </c>
    </row>
    <row r="218" spans="124:149">
      <c r="DT218" t="s">
        <v>3527</v>
      </c>
      <c r="DU218" t="s">
        <v>3527</v>
      </c>
      <c r="DW218" t="s">
        <v>2822</v>
      </c>
      <c r="DX218" t="s">
        <v>2821</v>
      </c>
      <c r="ED218" t="s">
        <v>3056</v>
      </c>
      <c r="EE218" t="s">
        <v>2993</v>
      </c>
      <c r="ER218" t="s">
        <v>4234</v>
      </c>
      <c r="ES218" t="s">
        <v>4218</v>
      </c>
    </row>
    <row r="219" spans="124:149">
      <c r="DT219" t="s">
        <v>3528</v>
      </c>
      <c r="DU219" t="s">
        <v>3528</v>
      </c>
      <c r="DW219" t="s">
        <v>701</v>
      </c>
      <c r="DX219" t="s">
        <v>2453</v>
      </c>
      <c r="ED219" t="s">
        <v>3057</v>
      </c>
      <c r="EE219" t="s">
        <v>2994</v>
      </c>
      <c r="ER219" t="s">
        <v>4234</v>
      </c>
      <c r="ES219" t="s">
        <v>4218</v>
      </c>
    </row>
    <row r="220" spans="124:149">
      <c r="DT220" t="s">
        <v>3529</v>
      </c>
      <c r="DU220" t="s">
        <v>3529</v>
      </c>
      <c r="DW220" t="s">
        <v>1626</v>
      </c>
      <c r="DX220" t="s">
        <v>2454</v>
      </c>
      <c r="ED220" t="s">
        <v>3058</v>
      </c>
      <c r="EE220" t="s">
        <v>2995</v>
      </c>
      <c r="ER220" t="s">
        <v>4235</v>
      </c>
      <c r="ES220" t="s">
        <v>4219</v>
      </c>
    </row>
    <row r="221" spans="124:149">
      <c r="DT221" t="s">
        <v>3530</v>
      </c>
      <c r="DU221" t="s">
        <v>3530</v>
      </c>
      <c r="DW221" t="s">
        <v>1630</v>
      </c>
      <c r="DX221" t="s">
        <v>2455</v>
      </c>
      <c r="ED221" t="s">
        <v>3059</v>
      </c>
      <c r="EE221" t="s">
        <v>2996</v>
      </c>
      <c r="ER221" t="s">
        <v>4235</v>
      </c>
      <c r="ES221" t="s">
        <v>4219</v>
      </c>
    </row>
    <row r="222" spans="124:149">
      <c r="DT222" s="507" t="s">
        <v>3549</v>
      </c>
      <c r="DU222" t="s">
        <v>3557</v>
      </c>
      <c r="DW222" t="s">
        <v>2353</v>
      </c>
      <c r="DX222" t="s">
        <v>2352</v>
      </c>
      <c r="ED222" t="s">
        <v>3060</v>
      </c>
      <c r="EE222" t="s">
        <v>2997</v>
      </c>
      <c r="ER222" t="s">
        <v>4235</v>
      </c>
      <c r="ES222" t="s">
        <v>4219</v>
      </c>
    </row>
    <row r="223" spans="124:149">
      <c r="DT223" s="507" t="s">
        <v>3550</v>
      </c>
      <c r="DU223" t="s">
        <v>3558</v>
      </c>
      <c r="DW223" t="s">
        <v>707</v>
      </c>
      <c r="DX223" t="s">
        <v>707</v>
      </c>
      <c r="ED223" t="s">
        <v>3061</v>
      </c>
      <c r="EE223" t="s">
        <v>2998</v>
      </c>
      <c r="ER223" t="s">
        <v>4236</v>
      </c>
      <c r="ES223" t="s">
        <v>4220</v>
      </c>
    </row>
    <row r="224" spans="124:149">
      <c r="DT224" s="507" t="s">
        <v>3551</v>
      </c>
      <c r="DU224" t="s">
        <v>3559</v>
      </c>
      <c r="DW224" t="s">
        <v>2314</v>
      </c>
      <c r="DX224" t="s">
        <v>2314</v>
      </c>
      <c r="ED224" t="s">
        <v>3062</v>
      </c>
      <c r="EE224" t="s">
        <v>2999</v>
      </c>
      <c r="ER224" t="s">
        <v>4236</v>
      </c>
      <c r="ES224" t="s">
        <v>4220</v>
      </c>
    </row>
    <row r="225" spans="124:149">
      <c r="DT225" s="507" t="s">
        <v>3552</v>
      </c>
      <c r="DU225" t="s">
        <v>3560</v>
      </c>
      <c r="DW225" t="s">
        <v>2356</v>
      </c>
      <c r="DX225" t="s">
        <v>2355</v>
      </c>
      <c r="ED225" t="s">
        <v>3063</v>
      </c>
      <c r="EE225" t="s">
        <v>3000</v>
      </c>
      <c r="ER225" t="s">
        <v>4236</v>
      </c>
      <c r="ES225" t="s">
        <v>4220</v>
      </c>
    </row>
    <row r="226" spans="124:149">
      <c r="DT226" s="550" t="s">
        <v>3553</v>
      </c>
      <c r="DU226" t="s">
        <v>3557</v>
      </c>
      <c r="DW226" t="s">
        <v>3359</v>
      </c>
      <c r="DX226" t="s">
        <v>3358</v>
      </c>
      <c r="ED226" t="s">
        <v>3064</v>
      </c>
      <c r="EE226" t="s">
        <v>3001</v>
      </c>
      <c r="ER226" t="s">
        <v>3497</v>
      </c>
      <c r="ES226" t="s">
        <v>3479</v>
      </c>
    </row>
    <row r="227" spans="124:149">
      <c r="DT227" s="550" t="s">
        <v>3555</v>
      </c>
      <c r="DU227" t="s">
        <v>3558</v>
      </c>
      <c r="DW227" t="s">
        <v>3158</v>
      </c>
      <c r="DX227" t="s">
        <v>3157</v>
      </c>
      <c r="ED227" t="s">
        <v>3065</v>
      </c>
      <c r="EE227" t="s">
        <v>3002</v>
      </c>
      <c r="ER227" t="s">
        <v>3497</v>
      </c>
      <c r="ES227" t="s">
        <v>3479</v>
      </c>
    </row>
    <row r="228" spans="124:149">
      <c r="DT228" s="550" t="s">
        <v>3556</v>
      </c>
      <c r="DU228" t="s">
        <v>3559</v>
      </c>
      <c r="DW228" t="s">
        <v>2360</v>
      </c>
      <c r="DX228" t="s">
        <v>2359</v>
      </c>
      <c r="ED228" t="s">
        <v>3066</v>
      </c>
      <c r="EE228" t="s">
        <v>3003</v>
      </c>
      <c r="ER228" t="s">
        <v>3497</v>
      </c>
      <c r="ES228" t="s">
        <v>3479</v>
      </c>
    </row>
    <row r="229" spans="124:149">
      <c r="DT229" s="550" t="s">
        <v>3554</v>
      </c>
      <c r="DU229" t="s">
        <v>3560</v>
      </c>
      <c r="DW229" t="s">
        <v>3370</v>
      </c>
      <c r="DX229" t="s">
        <v>3367</v>
      </c>
      <c r="ED229" t="s">
        <v>3067</v>
      </c>
      <c r="EE229" t="s">
        <v>3004</v>
      </c>
      <c r="ER229" t="s">
        <v>3497</v>
      </c>
      <c r="ES229" t="s">
        <v>3479</v>
      </c>
    </row>
    <row r="230" spans="124:149">
      <c r="DT230" s="549" t="s">
        <v>3557</v>
      </c>
      <c r="DU230" t="s">
        <v>3557</v>
      </c>
      <c r="DW230" t="s">
        <v>3371</v>
      </c>
      <c r="DX230" t="s">
        <v>3368</v>
      </c>
      <c r="ED230" t="s">
        <v>3068</v>
      </c>
      <c r="EE230" t="s">
        <v>3005</v>
      </c>
      <c r="ER230" t="s">
        <v>3498</v>
      </c>
      <c r="ES230" t="s">
        <v>3480</v>
      </c>
    </row>
    <row r="231" spans="124:149">
      <c r="DT231" s="549" t="s">
        <v>3558</v>
      </c>
      <c r="DU231" t="s">
        <v>3558</v>
      </c>
      <c r="DW231" t="s">
        <v>3372</v>
      </c>
      <c r="DX231" t="s">
        <v>3369</v>
      </c>
      <c r="ED231" t="s">
        <v>3069</v>
      </c>
      <c r="EE231" t="s">
        <v>3006</v>
      </c>
      <c r="ER231" t="s">
        <v>3498</v>
      </c>
      <c r="ES231" t="s">
        <v>3480</v>
      </c>
    </row>
    <row r="232" spans="124:149">
      <c r="DT232" s="549" t="s">
        <v>3559</v>
      </c>
      <c r="DU232" t="s">
        <v>3559</v>
      </c>
      <c r="DW232" t="s">
        <v>2826</v>
      </c>
      <c r="DX232" t="s">
        <v>2825</v>
      </c>
      <c r="ED232" t="s">
        <v>3070</v>
      </c>
      <c r="EE232" t="s">
        <v>3007</v>
      </c>
      <c r="ER232" t="s">
        <v>3499</v>
      </c>
      <c r="ES232" t="s">
        <v>3481</v>
      </c>
    </row>
    <row r="233" spans="124:149">
      <c r="DT233" s="549" t="s">
        <v>3560</v>
      </c>
      <c r="DU233" t="s">
        <v>3560</v>
      </c>
      <c r="DW233" t="s">
        <v>984</v>
      </c>
      <c r="DX233" t="s">
        <v>984</v>
      </c>
      <c r="ED233" t="s">
        <v>3071</v>
      </c>
      <c r="EE233" t="s">
        <v>3008</v>
      </c>
      <c r="ER233" t="s">
        <v>3499</v>
      </c>
      <c r="ES233" t="s">
        <v>3481</v>
      </c>
    </row>
    <row r="234" spans="124:149">
      <c r="DT234" s="318" t="s">
        <v>3567</v>
      </c>
      <c r="DU234" t="s">
        <v>3557</v>
      </c>
      <c r="DW234" t="s">
        <v>1696</v>
      </c>
      <c r="DX234" t="s">
        <v>1402</v>
      </c>
      <c r="ED234" t="s">
        <v>3072</v>
      </c>
      <c r="EE234" t="s">
        <v>3009</v>
      </c>
      <c r="ER234" t="s">
        <v>3500</v>
      </c>
      <c r="ES234" t="s">
        <v>3482</v>
      </c>
    </row>
    <row r="235" spans="124:149">
      <c r="DT235" s="318" t="s">
        <v>3568</v>
      </c>
      <c r="DU235" t="s">
        <v>3558</v>
      </c>
      <c r="DW235" t="s">
        <v>1697</v>
      </c>
      <c r="DX235" t="s">
        <v>2432</v>
      </c>
      <c r="ED235" t="s">
        <v>3073</v>
      </c>
      <c r="EE235" t="s">
        <v>3010</v>
      </c>
      <c r="ER235" t="s">
        <v>3500</v>
      </c>
      <c r="ES235" t="s">
        <v>3482</v>
      </c>
    </row>
    <row r="236" spans="124:149">
      <c r="DT236" s="318" t="s">
        <v>3569</v>
      </c>
      <c r="DU236" t="s">
        <v>3559</v>
      </c>
      <c r="DW236" t="s">
        <v>1698</v>
      </c>
      <c r="DX236" t="s">
        <v>2433</v>
      </c>
      <c r="ED236" t="s">
        <v>3074</v>
      </c>
      <c r="EE236" t="s">
        <v>3011</v>
      </c>
      <c r="ER236" t="s">
        <v>3500</v>
      </c>
      <c r="ES236" t="s">
        <v>3482</v>
      </c>
    </row>
    <row r="237" spans="124:149">
      <c r="DT237" s="318" t="s">
        <v>3570</v>
      </c>
      <c r="DU237" t="s">
        <v>3560</v>
      </c>
      <c r="DW237" t="s">
        <v>1699</v>
      </c>
      <c r="DX237" t="s">
        <v>1394</v>
      </c>
      <c r="ED237" t="s">
        <v>3075</v>
      </c>
      <c r="EE237" t="s">
        <v>3012</v>
      </c>
      <c r="ER237" t="s">
        <v>3500</v>
      </c>
      <c r="ES237" t="s">
        <v>3482</v>
      </c>
    </row>
    <row r="238" spans="124:149">
      <c r="DT238" s="549" t="s">
        <v>3564</v>
      </c>
      <c r="DU238" t="s">
        <v>3557</v>
      </c>
      <c r="DW238" t="s">
        <v>1700</v>
      </c>
      <c r="DX238" t="s">
        <v>2434</v>
      </c>
      <c r="ED238" t="s">
        <v>3076</v>
      </c>
      <c r="EE238" t="s">
        <v>3013</v>
      </c>
      <c r="ER238" t="s">
        <v>3501</v>
      </c>
      <c r="ES238" t="s">
        <v>3483</v>
      </c>
    </row>
    <row r="239" spans="124:149">
      <c r="DT239" s="549" t="s">
        <v>3563</v>
      </c>
      <c r="DU239" t="s">
        <v>3558</v>
      </c>
      <c r="DW239" t="s">
        <v>1701</v>
      </c>
      <c r="DX239" t="s">
        <v>2435</v>
      </c>
      <c r="ED239" t="s">
        <v>3077</v>
      </c>
      <c r="EE239" t="s">
        <v>3014</v>
      </c>
      <c r="ER239" t="s">
        <v>3501</v>
      </c>
      <c r="ES239" t="s">
        <v>3483</v>
      </c>
    </row>
    <row r="240" spans="124:149">
      <c r="DT240" s="549" t="s">
        <v>3562</v>
      </c>
      <c r="DU240" t="s">
        <v>3559</v>
      </c>
      <c r="DW240" t="s">
        <v>2811</v>
      </c>
      <c r="DX240" t="s">
        <v>2809</v>
      </c>
      <c r="ED240" t="s">
        <v>3078</v>
      </c>
      <c r="EE240" t="s">
        <v>3015</v>
      </c>
      <c r="ER240" t="s">
        <v>3501</v>
      </c>
      <c r="ES240" t="s">
        <v>3483</v>
      </c>
    </row>
    <row r="241" spans="124:149">
      <c r="DT241" s="549" t="s">
        <v>3561</v>
      </c>
      <c r="DU241" t="s">
        <v>3560</v>
      </c>
      <c r="DW241" t="s">
        <v>1703</v>
      </c>
      <c r="DX241" t="s">
        <v>991</v>
      </c>
      <c r="ED241" t="s">
        <v>3079</v>
      </c>
      <c r="EE241" t="s">
        <v>3016</v>
      </c>
      <c r="ER241" t="s">
        <v>3502</v>
      </c>
      <c r="ES241" t="s">
        <v>3484</v>
      </c>
    </row>
    <row r="242" spans="124:149">
      <c r="DT242" s="531" t="s">
        <v>3826</v>
      </c>
      <c r="DU242" t="s">
        <v>4101</v>
      </c>
      <c r="DW242" t="s">
        <v>2513</v>
      </c>
      <c r="DX242" t="s">
        <v>1407</v>
      </c>
      <c r="ED242" t="s">
        <v>3080</v>
      </c>
      <c r="EE242" t="s">
        <v>3017</v>
      </c>
      <c r="ER242" t="s">
        <v>3502</v>
      </c>
      <c r="ES242" t="s">
        <v>3484</v>
      </c>
    </row>
    <row r="243" spans="124:149">
      <c r="DT243" t="s">
        <v>3827</v>
      </c>
      <c r="DU243" t="s">
        <v>4101</v>
      </c>
      <c r="DW243" t="s">
        <v>42</v>
      </c>
      <c r="DX243" t="s">
        <v>2436</v>
      </c>
      <c r="ED243" t="s">
        <v>3081</v>
      </c>
      <c r="EE243" t="s">
        <v>3018</v>
      </c>
      <c r="ER243" t="s">
        <v>3502</v>
      </c>
      <c r="ES243" t="s">
        <v>3484</v>
      </c>
    </row>
    <row r="244" spans="124:149">
      <c r="DT244" s="531" t="s">
        <v>3828</v>
      </c>
      <c r="DU244" t="s">
        <v>4101</v>
      </c>
      <c r="DW244" t="s">
        <v>2627</v>
      </c>
      <c r="DX244" t="s">
        <v>2437</v>
      </c>
      <c r="ED244" t="s">
        <v>3082</v>
      </c>
      <c r="EE244" t="s">
        <v>3019</v>
      </c>
      <c r="ER244" t="s">
        <v>4237</v>
      </c>
      <c r="ES244" t="s">
        <v>4213</v>
      </c>
    </row>
    <row r="245" spans="124:149">
      <c r="DT245" s="531" t="s">
        <v>3829</v>
      </c>
      <c r="DU245" t="s">
        <v>4101</v>
      </c>
      <c r="DW245" t="s">
        <v>993</v>
      </c>
      <c r="DX245" t="s">
        <v>993</v>
      </c>
      <c r="ED245" t="s">
        <v>3083</v>
      </c>
      <c r="EE245" t="s">
        <v>3020</v>
      </c>
      <c r="ER245" t="s">
        <v>4238</v>
      </c>
      <c r="ES245" t="s">
        <v>4214</v>
      </c>
    </row>
    <row r="246" spans="124:149">
      <c r="DT246" s="531" t="s">
        <v>3830</v>
      </c>
      <c r="DU246" t="s">
        <v>4101</v>
      </c>
      <c r="DW246" t="s">
        <v>1707</v>
      </c>
      <c r="DX246" t="s">
        <v>2438</v>
      </c>
      <c r="ED246" t="s">
        <v>3084</v>
      </c>
      <c r="EE246" t="s">
        <v>3021</v>
      </c>
      <c r="ER246" t="s">
        <v>4238</v>
      </c>
      <c r="ES246" t="s">
        <v>4214</v>
      </c>
    </row>
    <row r="247" spans="124:149">
      <c r="DT247" s="571" t="s">
        <v>3811</v>
      </c>
      <c r="DU247" t="s">
        <v>4102</v>
      </c>
      <c r="DW247" t="s">
        <v>994</v>
      </c>
      <c r="DX247" t="s">
        <v>2439</v>
      </c>
      <c r="ED247" t="s">
        <v>3085</v>
      </c>
      <c r="EE247" t="s">
        <v>3022</v>
      </c>
      <c r="ER247" t="s">
        <v>3521</v>
      </c>
      <c r="ES247" t="s">
        <v>3503</v>
      </c>
    </row>
    <row r="248" spans="124:149">
      <c r="DT248" s="571" t="s">
        <v>3816</v>
      </c>
      <c r="DU248" t="s">
        <v>4103</v>
      </c>
      <c r="DW248" t="s">
        <v>997</v>
      </c>
      <c r="DX248" t="s">
        <v>997</v>
      </c>
      <c r="ED248" t="s">
        <v>3086</v>
      </c>
      <c r="EE248" t="s">
        <v>3023</v>
      </c>
      <c r="ER248" t="s">
        <v>3521</v>
      </c>
      <c r="ES248" t="s">
        <v>3503</v>
      </c>
    </row>
    <row r="249" spans="124:149">
      <c r="DT249" s="571" t="s">
        <v>3812</v>
      </c>
      <c r="DU249" t="s">
        <v>4102</v>
      </c>
      <c r="DW249" t="s">
        <v>1709</v>
      </c>
      <c r="DX249" t="s">
        <v>2440</v>
      </c>
      <c r="ED249" t="s">
        <v>3087</v>
      </c>
      <c r="EE249" t="s">
        <v>3024</v>
      </c>
      <c r="ER249" t="s">
        <v>3521</v>
      </c>
      <c r="ES249" t="s">
        <v>3503</v>
      </c>
    </row>
    <row r="250" spans="124:149">
      <c r="DT250" s="571" t="s">
        <v>3817</v>
      </c>
      <c r="DU250" t="s">
        <v>4103</v>
      </c>
      <c r="DW250" t="s">
        <v>1710</v>
      </c>
      <c r="DX250" t="s">
        <v>2441</v>
      </c>
      <c r="ED250" t="s">
        <v>3088</v>
      </c>
      <c r="EE250" t="s">
        <v>3025</v>
      </c>
      <c r="ER250" t="s">
        <v>3521</v>
      </c>
      <c r="ES250" t="s">
        <v>3503</v>
      </c>
    </row>
    <row r="251" spans="124:149">
      <c r="DT251" s="571" t="s">
        <v>3813</v>
      </c>
      <c r="DU251" t="s">
        <v>4102</v>
      </c>
      <c r="DW251" t="s">
        <v>998</v>
      </c>
      <c r="DX251" t="s">
        <v>998</v>
      </c>
      <c r="ED251" t="s">
        <v>3089</v>
      </c>
      <c r="EE251" t="s">
        <v>3026</v>
      </c>
      <c r="ER251" t="s">
        <v>3522</v>
      </c>
      <c r="ES251" t="s">
        <v>3504</v>
      </c>
    </row>
    <row r="252" spans="124:149">
      <c r="DT252" s="571" t="s">
        <v>3818</v>
      </c>
      <c r="DU252" t="s">
        <v>4103</v>
      </c>
      <c r="DW252" t="s">
        <v>1712</v>
      </c>
      <c r="DX252" t="s">
        <v>2442</v>
      </c>
      <c r="ED252" t="s">
        <v>3090</v>
      </c>
      <c r="EE252" t="s">
        <v>3027</v>
      </c>
      <c r="ER252" t="s">
        <v>3522</v>
      </c>
      <c r="ES252" t="s">
        <v>3504</v>
      </c>
    </row>
    <row r="253" spans="124:149">
      <c r="DT253" s="571" t="s">
        <v>3814</v>
      </c>
      <c r="DU253" t="s">
        <v>4102</v>
      </c>
      <c r="DW253" t="s">
        <v>2815</v>
      </c>
      <c r="DX253" t="s">
        <v>2813</v>
      </c>
      <c r="ED253" t="s">
        <v>3091</v>
      </c>
      <c r="EE253" t="s">
        <v>3028</v>
      </c>
      <c r="ER253" t="s">
        <v>3522</v>
      </c>
      <c r="ES253" t="s">
        <v>3504</v>
      </c>
    </row>
    <row r="254" spans="124:149">
      <c r="DT254" s="571" t="s">
        <v>3819</v>
      </c>
      <c r="DU254" t="s">
        <v>4103</v>
      </c>
      <c r="DW254" t="s">
        <v>2779</v>
      </c>
      <c r="DX254" t="s">
        <v>683</v>
      </c>
      <c r="ED254" t="s">
        <v>3092</v>
      </c>
      <c r="EE254" t="s">
        <v>2967</v>
      </c>
      <c r="ER254" t="s">
        <v>3522</v>
      </c>
      <c r="ES254" t="s">
        <v>3504</v>
      </c>
    </row>
    <row r="255" spans="124:149">
      <c r="DT255" s="571" t="s">
        <v>3815</v>
      </c>
      <c r="DU255" t="s">
        <v>4102</v>
      </c>
      <c r="DW255" t="s">
        <v>2780</v>
      </c>
      <c r="DX255" t="s">
        <v>2443</v>
      </c>
      <c r="ED255" t="s">
        <v>3093</v>
      </c>
      <c r="EE255" t="s">
        <v>2968</v>
      </c>
      <c r="ER255" t="s">
        <v>3523</v>
      </c>
      <c r="ES255" t="s">
        <v>3505</v>
      </c>
    </row>
    <row r="256" spans="124:149">
      <c r="DT256" s="571" t="s">
        <v>3820</v>
      </c>
      <c r="DU256" t="s">
        <v>4103</v>
      </c>
      <c r="DW256" t="s">
        <v>999</v>
      </c>
      <c r="DX256" t="s">
        <v>999</v>
      </c>
      <c r="ED256" t="s">
        <v>3094</v>
      </c>
      <c r="EE256" t="s">
        <v>2969</v>
      </c>
      <c r="ER256" t="s">
        <v>3523</v>
      </c>
      <c r="ES256" t="s">
        <v>3505</v>
      </c>
    </row>
    <row r="257" spans="118:149">
      <c r="DT257" t="s">
        <v>3792</v>
      </c>
      <c r="DU257" t="s">
        <v>712</v>
      </c>
      <c r="DW257" t="s">
        <v>2628</v>
      </c>
      <c r="DX257" t="s">
        <v>2444</v>
      </c>
      <c r="ED257" t="s">
        <v>3095</v>
      </c>
      <c r="EE257" t="s">
        <v>2970</v>
      </c>
      <c r="ER257" t="s">
        <v>3523</v>
      </c>
      <c r="ES257" t="s">
        <v>3505</v>
      </c>
    </row>
    <row r="258" spans="118:149">
      <c r="DT258" t="s">
        <v>3801</v>
      </c>
      <c r="DU258" t="s">
        <v>715</v>
      </c>
      <c r="DW258" t="s">
        <v>1000</v>
      </c>
      <c r="DX258" t="s">
        <v>1000</v>
      </c>
      <c r="ED258" t="s">
        <v>3096</v>
      </c>
      <c r="EE258" t="s">
        <v>2971</v>
      </c>
      <c r="ER258" t="s">
        <v>3523</v>
      </c>
      <c r="ES258" t="s">
        <v>3505</v>
      </c>
    </row>
    <row r="259" spans="118:149">
      <c r="DN259" s="531"/>
      <c r="DT259" t="s">
        <v>3811</v>
      </c>
      <c r="DU259" t="s">
        <v>1656</v>
      </c>
      <c r="DW259" t="s">
        <v>1718</v>
      </c>
      <c r="DX259" t="s">
        <v>2445</v>
      </c>
      <c r="ED259" t="s">
        <v>3097</v>
      </c>
      <c r="EE259" t="s">
        <v>2972</v>
      </c>
      <c r="ER259" t="s">
        <v>3524</v>
      </c>
      <c r="ES259" t="s">
        <v>3506</v>
      </c>
    </row>
    <row r="260" spans="118:149">
      <c r="DT260" t="s">
        <v>3816</v>
      </c>
      <c r="DU260" t="s">
        <v>1425</v>
      </c>
      <c r="DW260" t="s">
        <v>2819</v>
      </c>
      <c r="DX260" t="s">
        <v>2817</v>
      </c>
      <c r="ED260" t="s">
        <v>3098</v>
      </c>
      <c r="EE260" t="s">
        <v>2973</v>
      </c>
      <c r="ER260" t="s">
        <v>3524</v>
      </c>
      <c r="ES260" t="s">
        <v>3506</v>
      </c>
    </row>
    <row r="261" spans="118:149">
      <c r="DT261" t="s">
        <v>3821</v>
      </c>
      <c r="DU261" t="s">
        <v>1426</v>
      </c>
      <c r="DW261" t="s">
        <v>1413</v>
      </c>
      <c r="DX261" t="s">
        <v>1001</v>
      </c>
      <c r="ED261" t="s">
        <v>3099</v>
      </c>
      <c r="EE261" t="s">
        <v>2974</v>
      </c>
      <c r="ER261" t="s">
        <v>3524</v>
      </c>
      <c r="ES261" t="s">
        <v>3506</v>
      </c>
    </row>
    <row r="262" spans="118:149">
      <c r="DT262" t="s">
        <v>3826</v>
      </c>
      <c r="DU262" t="s">
        <v>1427</v>
      </c>
      <c r="DW262" t="s">
        <v>1002</v>
      </c>
      <c r="DX262" t="s">
        <v>1002</v>
      </c>
      <c r="ED262" t="s">
        <v>3100</v>
      </c>
      <c r="EE262" t="s">
        <v>2975</v>
      </c>
      <c r="ER262" t="s">
        <v>3524</v>
      </c>
      <c r="ES262" t="s">
        <v>3506</v>
      </c>
    </row>
    <row r="263" spans="118:149">
      <c r="DT263" t="s">
        <v>3831</v>
      </c>
      <c r="DU263" t="s">
        <v>1657</v>
      </c>
      <c r="DW263" t="s">
        <v>2629</v>
      </c>
      <c r="DX263" t="s">
        <v>2446</v>
      </c>
      <c r="ED263" t="s">
        <v>3101</v>
      </c>
      <c r="EE263" t="s">
        <v>2976</v>
      </c>
      <c r="ER263" t="s">
        <v>3524</v>
      </c>
      <c r="ES263" t="s">
        <v>3506</v>
      </c>
    </row>
    <row r="264" spans="118:149">
      <c r="DT264" t="s">
        <v>3836</v>
      </c>
      <c r="DU264" t="s">
        <v>716</v>
      </c>
      <c r="DW264" t="s">
        <v>1003</v>
      </c>
      <c r="DX264" t="s">
        <v>1003</v>
      </c>
      <c r="ED264" t="s">
        <v>3102</v>
      </c>
      <c r="EE264" t="s">
        <v>2977</v>
      </c>
      <c r="ER264" t="s">
        <v>3525</v>
      </c>
      <c r="ES264" t="s">
        <v>3507</v>
      </c>
    </row>
    <row r="265" spans="118:149">
      <c r="DT265" t="s">
        <v>3846</v>
      </c>
      <c r="DU265" t="s">
        <v>2456</v>
      </c>
      <c r="DW265" t="s">
        <v>2781</v>
      </c>
      <c r="DX265" t="s">
        <v>2447</v>
      </c>
      <c r="ED265" t="s">
        <v>3103</v>
      </c>
      <c r="EE265" t="s">
        <v>4261</v>
      </c>
      <c r="ER265" t="s">
        <v>3525</v>
      </c>
      <c r="ES265" t="s">
        <v>3507</v>
      </c>
    </row>
    <row r="266" spans="118:149">
      <c r="DT266" t="s">
        <v>3851</v>
      </c>
      <c r="DU266" t="s">
        <v>727</v>
      </c>
      <c r="DW266" t="s">
        <v>1724</v>
      </c>
      <c r="DX266" t="s">
        <v>691</v>
      </c>
      <c r="ED266" t="s">
        <v>3104</v>
      </c>
      <c r="EE266" t="s">
        <v>2978</v>
      </c>
      <c r="ER266" t="s">
        <v>3525</v>
      </c>
      <c r="ES266" t="s">
        <v>3507</v>
      </c>
    </row>
    <row r="267" spans="118:149">
      <c r="DT267" t="s">
        <v>3856</v>
      </c>
      <c r="DU267" t="s">
        <v>719</v>
      </c>
      <c r="DW267" t="s">
        <v>1725</v>
      </c>
      <c r="DX267" t="s">
        <v>2448</v>
      </c>
      <c r="ED267" t="s">
        <v>3105</v>
      </c>
      <c r="EE267" t="s">
        <v>2979</v>
      </c>
      <c r="ER267" t="s">
        <v>3525</v>
      </c>
      <c r="ES267" t="s">
        <v>3507</v>
      </c>
    </row>
    <row r="268" spans="118:149">
      <c r="DT268" t="s">
        <v>3861</v>
      </c>
      <c r="DU268" t="s">
        <v>1658</v>
      </c>
      <c r="DW268" t="s">
        <v>1726</v>
      </c>
      <c r="DX268" t="s">
        <v>1416</v>
      </c>
      <c r="ED268" t="s">
        <v>3106</v>
      </c>
      <c r="EE268" t="s">
        <v>2980</v>
      </c>
      <c r="ER268" t="s">
        <v>3525</v>
      </c>
      <c r="ES268" t="s">
        <v>3507</v>
      </c>
    </row>
    <row r="269" spans="118:149">
      <c r="DT269" t="s">
        <v>3866</v>
      </c>
      <c r="DU269" t="s">
        <v>1650</v>
      </c>
      <c r="DW269" t="s">
        <v>686</v>
      </c>
      <c r="DX269" t="s">
        <v>2449</v>
      </c>
      <c r="ED269" t="s">
        <v>3107</v>
      </c>
      <c r="EE269" t="s">
        <v>2981</v>
      </c>
      <c r="ER269" t="s">
        <v>3526</v>
      </c>
      <c r="ES269" t="s">
        <v>3508</v>
      </c>
    </row>
    <row r="270" spans="118:149">
      <c r="DT270" t="s">
        <v>3876</v>
      </c>
      <c r="DU270" t="s">
        <v>1652</v>
      </c>
      <c r="DW270" t="s">
        <v>2782</v>
      </c>
      <c r="DX270" t="s">
        <v>2450</v>
      </c>
      <c r="ED270" t="s">
        <v>3108</v>
      </c>
      <c r="EE270" t="s">
        <v>2982</v>
      </c>
      <c r="ER270" t="s">
        <v>3526</v>
      </c>
      <c r="ES270" t="s">
        <v>3508</v>
      </c>
    </row>
    <row r="271" spans="118:149">
      <c r="DT271" t="s">
        <v>3881</v>
      </c>
      <c r="DU271" t="s">
        <v>720</v>
      </c>
      <c r="DW271" t="s">
        <v>1728</v>
      </c>
      <c r="DX271" t="s">
        <v>2451</v>
      </c>
      <c r="ED271" t="s">
        <v>3109</v>
      </c>
      <c r="EE271" t="s">
        <v>2983</v>
      </c>
      <c r="ER271" t="s">
        <v>3526</v>
      </c>
      <c r="ES271" t="s">
        <v>3508</v>
      </c>
    </row>
    <row r="272" spans="118:149">
      <c r="DT272" t="s">
        <v>3886</v>
      </c>
      <c r="DU272" t="s">
        <v>721</v>
      </c>
      <c r="DW272" t="s">
        <v>3317</v>
      </c>
      <c r="DX272" t="s">
        <v>3317</v>
      </c>
      <c r="ED272" t="s">
        <v>3110</v>
      </c>
      <c r="EE272" t="s">
        <v>2984</v>
      </c>
      <c r="ER272" t="s">
        <v>3526</v>
      </c>
      <c r="ES272" t="s">
        <v>3508</v>
      </c>
    </row>
    <row r="273" spans="124:149">
      <c r="DT273" t="s">
        <v>3891</v>
      </c>
      <c r="DU273" t="s">
        <v>722</v>
      </c>
      <c r="DW273" t="s">
        <v>3322</v>
      </c>
      <c r="DX273" t="s">
        <v>3320</v>
      </c>
      <c r="ED273" t="s">
        <v>3111</v>
      </c>
      <c r="EE273" t="s">
        <v>2985</v>
      </c>
      <c r="ER273" t="s">
        <v>3526</v>
      </c>
      <c r="ES273" t="s">
        <v>3508</v>
      </c>
    </row>
    <row r="274" spans="124:149">
      <c r="DT274" t="s">
        <v>3896</v>
      </c>
      <c r="DU274" t="s">
        <v>723</v>
      </c>
      <c r="DW274" t="s">
        <v>1004</v>
      </c>
      <c r="DX274" t="s">
        <v>1004</v>
      </c>
      <c r="ED274" t="s">
        <v>3112</v>
      </c>
      <c r="EE274" t="s">
        <v>2986</v>
      </c>
      <c r="ER274" t="s">
        <v>4239</v>
      </c>
      <c r="ES274" t="s">
        <v>4215</v>
      </c>
    </row>
    <row r="275" spans="124:149">
      <c r="DT275" t="s">
        <v>3906</v>
      </c>
      <c r="DU275" t="s">
        <v>725</v>
      </c>
      <c r="DW275" t="s">
        <v>1730</v>
      </c>
      <c r="DX275" t="s">
        <v>2452</v>
      </c>
      <c r="ED275" t="s">
        <v>3113</v>
      </c>
      <c r="EE275" t="s">
        <v>2987</v>
      </c>
      <c r="ER275" t="s">
        <v>4239</v>
      </c>
      <c r="ES275" t="s">
        <v>4215</v>
      </c>
    </row>
    <row r="276" spans="124:149">
      <c r="DT276" t="s">
        <v>3911</v>
      </c>
      <c r="DU276" t="s">
        <v>61</v>
      </c>
      <c r="DW276" t="s">
        <v>2823</v>
      </c>
      <c r="DX276" t="s">
        <v>2821</v>
      </c>
      <c r="ED276" t="s">
        <v>3114</v>
      </c>
      <c r="EE276" t="s">
        <v>2988</v>
      </c>
      <c r="ER276" t="s">
        <v>4240</v>
      </c>
      <c r="ES276" t="s">
        <v>4216</v>
      </c>
    </row>
    <row r="277" spans="124:149">
      <c r="DT277" t="s">
        <v>3916</v>
      </c>
      <c r="DU277" t="s">
        <v>62</v>
      </c>
      <c r="DW277" t="s">
        <v>2630</v>
      </c>
      <c r="DX277" t="s">
        <v>2453</v>
      </c>
      <c r="ED277" t="s">
        <v>3115</v>
      </c>
      <c r="EE277" t="s">
        <v>2989</v>
      </c>
      <c r="ER277" t="s">
        <v>4240</v>
      </c>
      <c r="ES277" t="s">
        <v>4216</v>
      </c>
    </row>
    <row r="278" spans="124:149">
      <c r="DT278" t="s">
        <v>3921</v>
      </c>
      <c r="DU278" t="s">
        <v>45</v>
      </c>
      <c r="DW278" t="s">
        <v>1732</v>
      </c>
      <c r="DX278" t="s">
        <v>2454</v>
      </c>
      <c r="ED278" t="s">
        <v>3116</v>
      </c>
      <c r="EE278" t="s">
        <v>2990</v>
      </c>
      <c r="ER278" t="s">
        <v>4241</v>
      </c>
      <c r="ES278" t="s">
        <v>4217</v>
      </c>
    </row>
    <row r="279" spans="124:149">
      <c r="DT279" t="s">
        <v>3926</v>
      </c>
      <c r="DU279" t="s">
        <v>51</v>
      </c>
      <c r="DW279" t="s">
        <v>1733</v>
      </c>
      <c r="DX279" t="s">
        <v>2455</v>
      </c>
      <c r="ED279" t="s">
        <v>3117</v>
      </c>
      <c r="EE279" t="s">
        <v>2991</v>
      </c>
      <c r="ER279" t="s">
        <v>4241</v>
      </c>
      <c r="ES279" t="s">
        <v>4217</v>
      </c>
    </row>
    <row r="280" spans="124:149">
      <c r="DT280" t="s">
        <v>3931</v>
      </c>
      <c r="DU280" t="s">
        <v>52</v>
      </c>
      <c r="DW280" t="s">
        <v>2005</v>
      </c>
      <c r="DX280" t="s">
        <v>2352</v>
      </c>
      <c r="ED280" t="s">
        <v>3118</v>
      </c>
      <c r="EE280" t="s">
        <v>2992</v>
      </c>
      <c r="ER280" t="s">
        <v>4242</v>
      </c>
      <c r="ES280" t="s">
        <v>4218</v>
      </c>
    </row>
    <row r="281" spans="124:149">
      <c r="DT281" t="s">
        <v>3936</v>
      </c>
      <c r="DU281" t="s">
        <v>53</v>
      </c>
      <c r="DW281" t="s">
        <v>707</v>
      </c>
      <c r="DX281" t="s">
        <v>707</v>
      </c>
      <c r="ED281" t="s">
        <v>3119</v>
      </c>
      <c r="EE281" t="s">
        <v>2993</v>
      </c>
      <c r="ER281" t="s">
        <v>4242</v>
      </c>
      <c r="ES281" t="s">
        <v>4218</v>
      </c>
    </row>
    <row r="282" spans="124:149">
      <c r="DT282" t="s">
        <v>3941</v>
      </c>
      <c r="DU282" t="s">
        <v>46</v>
      </c>
      <c r="DW282" t="s">
        <v>2314</v>
      </c>
      <c r="DX282" t="s">
        <v>2314</v>
      </c>
      <c r="ED282" t="s">
        <v>3120</v>
      </c>
      <c r="EE282" t="s">
        <v>2994</v>
      </c>
      <c r="ER282" t="s">
        <v>4242</v>
      </c>
      <c r="ES282" t="s">
        <v>4218</v>
      </c>
    </row>
    <row r="283" spans="124:149">
      <c r="DT283" t="s">
        <v>3946</v>
      </c>
      <c r="DU283" t="s">
        <v>56</v>
      </c>
      <c r="DW283" t="s">
        <v>2631</v>
      </c>
      <c r="DX283" t="s">
        <v>2355</v>
      </c>
      <c r="ED283" t="s">
        <v>3121</v>
      </c>
      <c r="EE283" t="s">
        <v>2995</v>
      </c>
      <c r="ER283" t="s">
        <v>4243</v>
      </c>
      <c r="ES283" t="s">
        <v>4219</v>
      </c>
    </row>
    <row r="284" spans="124:149">
      <c r="DT284" t="s">
        <v>3951</v>
      </c>
      <c r="DU284" t="s">
        <v>60</v>
      </c>
      <c r="DW284" t="s">
        <v>3360</v>
      </c>
      <c r="DX284" t="s">
        <v>3358</v>
      </c>
      <c r="ED284" t="s">
        <v>3122</v>
      </c>
      <c r="EE284" t="s">
        <v>2996</v>
      </c>
      <c r="ER284" t="s">
        <v>4243</v>
      </c>
      <c r="ES284" t="s">
        <v>4219</v>
      </c>
    </row>
    <row r="285" spans="124:149">
      <c r="DT285" t="s">
        <v>3956</v>
      </c>
      <c r="DU285" t="s">
        <v>63</v>
      </c>
      <c r="DW285" t="s">
        <v>3159</v>
      </c>
      <c r="DX285" t="s">
        <v>3157</v>
      </c>
      <c r="ED285" t="s">
        <v>3123</v>
      </c>
      <c r="EE285" t="s">
        <v>2997</v>
      </c>
      <c r="ER285" t="s">
        <v>4243</v>
      </c>
      <c r="ES285" t="s">
        <v>4219</v>
      </c>
    </row>
    <row r="286" spans="124:149">
      <c r="DT286" t="s">
        <v>3961</v>
      </c>
      <c r="DU286" t="s">
        <v>65</v>
      </c>
      <c r="DW286" t="s">
        <v>2632</v>
      </c>
      <c r="DX286" t="s">
        <v>2359</v>
      </c>
      <c r="ED286" t="s">
        <v>3124</v>
      </c>
      <c r="EE286" t="s">
        <v>2998</v>
      </c>
      <c r="ER286" t="s">
        <v>4244</v>
      </c>
      <c r="ES286" t="s">
        <v>4220</v>
      </c>
    </row>
    <row r="287" spans="124:149">
      <c r="DT287" t="s">
        <v>3966</v>
      </c>
      <c r="DU287" t="s">
        <v>64</v>
      </c>
      <c r="DW287" t="s">
        <v>3373</v>
      </c>
      <c r="DX287" t="s">
        <v>3367</v>
      </c>
      <c r="ED287" t="s">
        <v>3125</v>
      </c>
      <c r="EE287" t="s">
        <v>2999</v>
      </c>
      <c r="ER287" t="s">
        <v>4244</v>
      </c>
      <c r="ES287" t="s">
        <v>4220</v>
      </c>
    </row>
    <row r="288" spans="124:149">
      <c r="DT288" t="s">
        <v>3971</v>
      </c>
      <c r="DU288" t="s">
        <v>1006</v>
      </c>
      <c r="DW288" t="s">
        <v>3374</v>
      </c>
      <c r="DX288" t="s">
        <v>3368</v>
      </c>
      <c r="ED288" t="s">
        <v>3126</v>
      </c>
      <c r="EE288" t="s">
        <v>3000</v>
      </c>
      <c r="ER288" t="s">
        <v>4244</v>
      </c>
      <c r="ES288" t="s">
        <v>4220</v>
      </c>
    </row>
    <row r="289" spans="124:149">
      <c r="DT289" t="s">
        <v>3976</v>
      </c>
      <c r="DU289" t="s">
        <v>47</v>
      </c>
      <c r="DW289" t="s">
        <v>3375</v>
      </c>
      <c r="DX289" t="s">
        <v>3369</v>
      </c>
      <c r="ED289" t="s">
        <v>3127</v>
      </c>
      <c r="EE289" t="s">
        <v>3001</v>
      </c>
      <c r="ER289" t="s">
        <v>3666</v>
      </c>
      <c r="ES289" t="s">
        <v>3666</v>
      </c>
    </row>
    <row r="290" spans="124:149">
      <c r="DT290" t="s">
        <v>4016</v>
      </c>
      <c r="DU290" t="s">
        <v>74</v>
      </c>
      <c r="DW290" t="s">
        <v>2827</v>
      </c>
      <c r="DX290" t="s">
        <v>2825</v>
      </c>
      <c r="ED290" t="s">
        <v>3128</v>
      </c>
      <c r="EE290" t="s">
        <v>3002</v>
      </c>
    </row>
    <row r="291" spans="124:149">
      <c r="DT291" t="s">
        <v>4021</v>
      </c>
      <c r="DU291" t="s">
        <v>76</v>
      </c>
      <c r="DW291" t="s">
        <v>4113</v>
      </c>
      <c r="DX291" t="s">
        <v>2227</v>
      </c>
      <c r="ED291" t="s">
        <v>3129</v>
      </c>
      <c r="EE291" t="s">
        <v>3003</v>
      </c>
      <c r="ER291" t="s">
        <v>3667</v>
      </c>
      <c r="ES291" t="s">
        <v>3666</v>
      </c>
    </row>
    <row r="292" spans="124:149">
      <c r="DT292" s="507" t="s">
        <v>4026</v>
      </c>
      <c r="DU292" s="549" t="s">
        <v>72</v>
      </c>
      <c r="DW292" t="s">
        <v>4114</v>
      </c>
      <c r="DX292" t="s">
        <v>2228</v>
      </c>
      <c r="ED292" t="s">
        <v>3130</v>
      </c>
      <c r="EE292" t="s">
        <v>3004</v>
      </c>
      <c r="ER292" t="s">
        <v>3668</v>
      </c>
      <c r="ES292" t="s">
        <v>3666</v>
      </c>
    </row>
    <row r="293" spans="124:149">
      <c r="DT293" s="507" t="s">
        <v>4031</v>
      </c>
      <c r="DU293" s="549" t="s">
        <v>69</v>
      </c>
      <c r="DW293" t="s">
        <v>2344</v>
      </c>
      <c r="DX293" t="s">
        <v>2348</v>
      </c>
      <c r="ED293" t="s">
        <v>3131</v>
      </c>
      <c r="EE293" t="s">
        <v>3005</v>
      </c>
      <c r="ER293" t="s">
        <v>3669</v>
      </c>
      <c r="ES293" t="s">
        <v>3666</v>
      </c>
    </row>
    <row r="294" spans="124:149">
      <c r="DT294" s="507" t="s">
        <v>4036</v>
      </c>
      <c r="DU294" s="549" t="s">
        <v>73</v>
      </c>
      <c r="DW294" t="s">
        <v>2345</v>
      </c>
      <c r="DX294" t="s">
        <v>2349</v>
      </c>
      <c r="ED294" t="s">
        <v>3132</v>
      </c>
      <c r="EE294" t="s">
        <v>3006</v>
      </c>
      <c r="ER294" t="s">
        <v>3664</v>
      </c>
      <c r="ES294" t="s">
        <v>3664</v>
      </c>
    </row>
    <row r="295" spans="124:149">
      <c r="DT295" s="507" t="s">
        <v>4041</v>
      </c>
      <c r="DU295" s="549" t="s">
        <v>71</v>
      </c>
      <c r="DW295" t="s">
        <v>4115</v>
      </c>
      <c r="DX295" t="s">
        <v>2229</v>
      </c>
      <c r="ED295" t="s">
        <v>3133</v>
      </c>
      <c r="EE295" t="s">
        <v>3007</v>
      </c>
    </row>
    <row r="296" spans="124:149">
      <c r="DT296" s="550" t="s">
        <v>4046</v>
      </c>
      <c r="DU296" s="549" t="s">
        <v>70</v>
      </c>
      <c r="DW296" t="s">
        <v>4116</v>
      </c>
      <c r="DX296" t="s">
        <v>2230</v>
      </c>
      <c r="ED296" t="s">
        <v>3134</v>
      </c>
      <c r="EE296" t="s">
        <v>3008</v>
      </c>
      <c r="ER296" t="s">
        <v>3670</v>
      </c>
      <c r="ES296" t="s">
        <v>3664</v>
      </c>
    </row>
    <row r="297" spans="124:149">
      <c r="DT297" s="550" t="s">
        <v>4061</v>
      </c>
      <c r="DU297" s="549" t="s">
        <v>539</v>
      </c>
      <c r="DW297" t="s">
        <v>4117</v>
      </c>
      <c r="DX297" t="s">
        <v>2231</v>
      </c>
      <c r="ED297" t="s">
        <v>3135</v>
      </c>
      <c r="EE297" t="s">
        <v>3009</v>
      </c>
      <c r="ER297" t="s">
        <v>3671</v>
      </c>
      <c r="ES297" t="s">
        <v>3664</v>
      </c>
    </row>
    <row r="298" spans="124:149">
      <c r="DT298" s="550" t="s">
        <v>4071</v>
      </c>
      <c r="DU298" s="549" t="s">
        <v>541</v>
      </c>
      <c r="DW298" t="s">
        <v>4118</v>
      </c>
      <c r="DX298" t="s">
        <v>2232</v>
      </c>
      <c r="ED298" t="s">
        <v>3136</v>
      </c>
      <c r="EE298" t="s">
        <v>3010</v>
      </c>
      <c r="ER298" t="s">
        <v>3672</v>
      </c>
      <c r="ES298" t="s">
        <v>3664</v>
      </c>
    </row>
    <row r="299" spans="124:149">
      <c r="DT299" s="550" t="s">
        <v>4076</v>
      </c>
      <c r="DU299" s="549" t="s">
        <v>1664</v>
      </c>
      <c r="DW299" t="s">
        <v>2361</v>
      </c>
      <c r="DX299" t="s">
        <v>2365</v>
      </c>
      <c r="ED299" t="s">
        <v>3137</v>
      </c>
      <c r="EE299" t="s">
        <v>3011</v>
      </c>
      <c r="ER299" t="s">
        <v>3665</v>
      </c>
      <c r="ES299" t="s">
        <v>3665</v>
      </c>
    </row>
    <row r="300" spans="124:149">
      <c r="DT300" s="549" t="s">
        <v>3793</v>
      </c>
      <c r="DU300" s="549" t="s">
        <v>712</v>
      </c>
      <c r="DW300" t="s">
        <v>2362</v>
      </c>
      <c r="DX300" t="s">
        <v>2366</v>
      </c>
      <c r="ED300" t="s">
        <v>3138</v>
      </c>
      <c r="EE300" t="s">
        <v>3012</v>
      </c>
    </row>
    <row r="301" spans="124:149">
      <c r="DT301" s="549" t="s">
        <v>3802</v>
      </c>
      <c r="DU301" s="549" t="s">
        <v>715</v>
      </c>
      <c r="DW301" t="s">
        <v>2606</v>
      </c>
      <c r="DX301" t="s">
        <v>2608</v>
      </c>
      <c r="ED301" t="s">
        <v>3139</v>
      </c>
      <c r="EE301" t="s">
        <v>3013</v>
      </c>
      <c r="ER301" t="s">
        <v>3673</v>
      </c>
      <c r="ES301" t="s">
        <v>3665</v>
      </c>
    </row>
    <row r="302" spans="124:149">
      <c r="DT302" s="549" t="s">
        <v>3812</v>
      </c>
      <c r="DU302" s="549" t="s">
        <v>1656</v>
      </c>
      <c r="DW302" t="s">
        <v>4119</v>
      </c>
      <c r="DX302" t="s">
        <v>2227</v>
      </c>
      <c r="ED302" t="s">
        <v>3140</v>
      </c>
      <c r="EE302" t="s">
        <v>3014</v>
      </c>
      <c r="ER302" t="s">
        <v>3674</v>
      </c>
      <c r="ES302" t="s">
        <v>3665</v>
      </c>
    </row>
    <row r="303" spans="124:149">
      <c r="DT303" s="549" t="s">
        <v>3817</v>
      </c>
      <c r="DU303" s="549" t="s">
        <v>1425</v>
      </c>
      <c r="DW303" t="s">
        <v>4120</v>
      </c>
      <c r="DX303" t="s">
        <v>2228</v>
      </c>
      <c r="ED303" t="s">
        <v>3141</v>
      </c>
      <c r="EE303" t="s">
        <v>3015</v>
      </c>
      <c r="ER303" t="s">
        <v>3675</v>
      </c>
      <c r="ES303" t="s">
        <v>3665</v>
      </c>
    </row>
    <row r="304" spans="124:149">
      <c r="DT304" s="318" t="s">
        <v>3822</v>
      </c>
      <c r="DU304" s="549" t="s">
        <v>1426</v>
      </c>
      <c r="DW304" t="s">
        <v>2346</v>
      </c>
      <c r="DX304" t="s">
        <v>2348</v>
      </c>
      <c r="ED304" t="s">
        <v>3142</v>
      </c>
      <c r="EE304" t="s">
        <v>3016</v>
      </c>
    </row>
    <row r="305" spans="124:135">
      <c r="DT305" s="318" t="s">
        <v>3827</v>
      </c>
      <c r="DU305" s="549" t="s">
        <v>1427</v>
      </c>
      <c r="DW305" t="s">
        <v>2347</v>
      </c>
      <c r="DX305" t="s">
        <v>2349</v>
      </c>
      <c r="ED305" t="s">
        <v>3143</v>
      </c>
      <c r="EE305" t="s">
        <v>3017</v>
      </c>
    </row>
    <row r="306" spans="124:135">
      <c r="DT306" s="318" t="s">
        <v>3832</v>
      </c>
      <c r="DU306" s="549" t="s">
        <v>1657</v>
      </c>
      <c r="DW306" t="s">
        <v>4121</v>
      </c>
      <c r="DX306" t="s">
        <v>2229</v>
      </c>
      <c r="ED306" t="s">
        <v>3144</v>
      </c>
      <c r="EE306" t="s">
        <v>3018</v>
      </c>
    </row>
    <row r="307" spans="124:135">
      <c r="DT307" s="318" t="s">
        <v>3837</v>
      </c>
      <c r="DU307" s="549" t="s">
        <v>716</v>
      </c>
      <c r="DW307" t="s">
        <v>4122</v>
      </c>
      <c r="DX307" t="s">
        <v>2230</v>
      </c>
      <c r="ED307" t="s">
        <v>3145</v>
      </c>
      <c r="EE307" t="s">
        <v>3019</v>
      </c>
    </row>
    <row r="308" spans="124:135">
      <c r="DT308" s="549" t="s">
        <v>3847</v>
      </c>
      <c r="DU308" s="549" t="s">
        <v>2456</v>
      </c>
      <c r="DW308" t="s">
        <v>4123</v>
      </c>
      <c r="DX308" t="s">
        <v>2231</v>
      </c>
      <c r="ED308" t="s">
        <v>3146</v>
      </c>
      <c r="EE308" t="s">
        <v>3020</v>
      </c>
    </row>
    <row r="309" spans="124:135">
      <c r="DT309" s="549" t="s">
        <v>3852</v>
      </c>
      <c r="DU309" s="549" t="s">
        <v>727</v>
      </c>
      <c r="DW309" t="s">
        <v>4124</v>
      </c>
      <c r="DX309" t="s">
        <v>2232</v>
      </c>
      <c r="ED309" t="s">
        <v>3147</v>
      </c>
      <c r="EE309" t="s">
        <v>3021</v>
      </c>
    </row>
    <row r="310" spans="124:135">
      <c r="DT310" s="549" t="s">
        <v>3857</v>
      </c>
      <c r="DU310" s="549" t="s">
        <v>719</v>
      </c>
      <c r="DW310" t="s">
        <v>2363</v>
      </c>
      <c r="DX310" t="s">
        <v>2365</v>
      </c>
      <c r="ED310" t="s">
        <v>3148</v>
      </c>
      <c r="EE310" t="s">
        <v>3022</v>
      </c>
    </row>
    <row r="311" spans="124:135">
      <c r="DT311" s="549" t="s">
        <v>3862</v>
      </c>
      <c r="DU311" s="549" t="s">
        <v>1658</v>
      </c>
      <c r="DW311" t="s">
        <v>2364</v>
      </c>
      <c r="DX311" t="s">
        <v>2366</v>
      </c>
      <c r="ED311" t="s">
        <v>3149</v>
      </c>
      <c r="EE311" t="s">
        <v>3023</v>
      </c>
    </row>
    <row r="312" spans="124:135">
      <c r="DT312" s="571" t="s">
        <v>3867</v>
      </c>
      <c r="DU312" s="571" t="s">
        <v>1650</v>
      </c>
      <c r="DW312" t="s">
        <v>2607</v>
      </c>
      <c r="DX312" t="s">
        <v>2608</v>
      </c>
      <c r="ED312" t="s">
        <v>3150</v>
      </c>
      <c r="EE312" t="s">
        <v>3024</v>
      </c>
    </row>
    <row r="313" spans="124:135">
      <c r="DT313" s="571" t="s">
        <v>3877</v>
      </c>
      <c r="DU313" s="571" t="s">
        <v>1652</v>
      </c>
      <c r="DW313" t="s">
        <v>4125</v>
      </c>
      <c r="DX313" t="s">
        <v>2227</v>
      </c>
      <c r="ED313" t="s">
        <v>3151</v>
      </c>
      <c r="EE313" t="s">
        <v>3025</v>
      </c>
    </row>
    <row r="314" spans="124:135">
      <c r="DT314" s="571" t="s">
        <v>3882</v>
      </c>
      <c r="DU314" s="571" t="s">
        <v>720</v>
      </c>
      <c r="DW314" t="s">
        <v>4131</v>
      </c>
      <c r="DX314" t="s">
        <v>2228</v>
      </c>
      <c r="ED314" t="s">
        <v>3152</v>
      </c>
      <c r="EE314" t="s">
        <v>3026</v>
      </c>
    </row>
    <row r="315" spans="124:135">
      <c r="DT315" s="571" t="s">
        <v>3887</v>
      </c>
      <c r="DU315" s="571" t="s">
        <v>721</v>
      </c>
      <c r="DW315" t="s">
        <v>2348</v>
      </c>
      <c r="DX315" t="s">
        <v>2348</v>
      </c>
      <c r="ED315" t="s">
        <v>3153</v>
      </c>
      <c r="EE315" t="s">
        <v>3027</v>
      </c>
    </row>
    <row r="316" spans="124:135">
      <c r="DT316" t="s">
        <v>3892</v>
      </c>
      <c r="DU316" t="s">
        <v>722</v>
      </c>
      <c r="DW316" t="s">
        <v>2349</v>
      </c>
      <c r="DX316" t="s">
        <v>2349</v>
      </c>
      <c r="ED316" t="s">
        <v>3154</v>
      </c>
      <c r="EE316" t="s">
        <v>3028</v>
      </c>
    </row>
    <row r="317" spans="124:135">
      <c r="DT317" t="s">
        <v>3897</v>
      </c>
      <c r="DU317" t="s">
        <v>723</v>
      </c>
      <c r="DW317" t="s">
        <v>4133</v>
      </c>
      <c r="DX317" t="s">
        <v>2229</v>
      </c>
      <c r="ED317" t="s">
        <v>4251</v>
      </c>
      <c r="EE317" t="s">
        <v>4345</v>
      </c>
    </row>
    <row r="318" spans="124:135">
      <c r="DT318" t="s">
        <v>3907</v>
      </c>
      <c r="DU318" t="s">
        <v>725</v>
      </c>
      <c r="DW318" t="s">
        <v>4135</v>
      </c>
      <c r="DX318" t="s">
        <v>2230</v>
      </c>
      <c r="ED318" t="s">
        <v>4252</v>
      </c>
      <c r="EE318" t="s">
        <v>4345</v>
      </c>
    </row>
    <row r="319" spans="124:135">
      <c r="DT319" t="s">
        <v>3912</v>
      </c>
      <c r="DU319" t="s">
        <v>61</v>
      </c>
      <c r="DW319" t="s">
        <v>4137</v>
      </c>
      <c r="DX319" t="s">
        <v>2231</v>
      </c>
      <c r="ED319" t="s">
        <v>4267</v>
      </c>
      <c r="EE319" t="s">
        <v>4345</v>
      </c>
    </row>
    <row r="320" spans="124:135">
      <c r="DT320" t="s">
        <v>3917</v>
      </c>
      <c r="DU320" t="s">
        <v>62</v>
      </c>
      <c r="DW320" t="s">
        <v>4139</v>
      </c>
      <c r="DX320" t="s">
        <v>2232</v>
      </c>
      <c r="ED320" t="s">
        <v>4268</v>
      </c>
      <c r="EE320" t="s">
        <v>4345</v>
      </c>
    </row>
    <row r="321" spans="124:135">
      <c r="DT321" t="s">
        <v>3922</v>
      </c>
      <c r="DU321" t="s">
        <v>45</v>
      </c>
      <c r="DW321" t="s">
        <v>2365</v>
      </c>
      <c r="DX321" t="s">
        <v>2365</v>
      </c>
      <c r="ED321" t="s">
        <v>4266</v>
      </c>
      <c r="EE321" t="s">
        <v>4345</v>
      </c>
    </row>
    <row r="322" spans="124:135">
      <c r="DT322" t="s">
        <v>3927</v>
      </c>
      <c r="DU322" t="s">
        <v>51</v>
      </c>
      <c r="DW322" t="s">
        <v>2366</v>
      </c>
      <c r="DX322" t="s">
        <v>2366</v>
      </c>
      <c r="ED322" t="s">
        <v>4271</v>
      </c>
      <c r="EE322" t="s">
        <v>4345</v>
      </c>
    </row>
    <row r="323" spans="124:135">
      <c r="DT323" t="s">
        <v>3932</v>
      </c>
      <c r="DU323" t="s">
        <v>52</v>
      </c>
      <c r="DW323" t="s">
        <v>2608</v>
      </c>
      <c r="DX323" t="s">
        <v>2608</v>
      </c>
      <c r="ED323" t="s">
        <v>4269</v>
      </c>
      <c r="EE323" t="s">
        <v>4345</v>
      </c>
    </row>
    <row r="324" spans="124:135">
      <c r="DT324" t="s">
        <v>3937</v>
      </c>
      <c r="DU324" t="s">
        <v>53</v>
      </c>
      <c r="DW324" t="s">
        <v>4141</v>
      </c>
      <c r="DX324" t="s">
        <v>2227</v>
      </c>
      <c r="ED324" t="s">
        <v>4272</v>
      </c>
      <c r="EE324" t="s">
        <v>4345</v>
      </c>
    </row>
    <row r="325" spans="124:135">
      <c r="DT325" t="s">
        <v>3942</v>
      </c>
      <c r="DU325" t="s">
        <v>46</v>
      </c>
      <c r="DW325" t="s">
        <v>4142</v>
      </c>
      <c r="DX325" t="s">
        <v>2228</v>
      </c>
      <c r="ED325" t="s">
        <v>4270</v>
      </c>
      <c r="EE325" t="s">
        <v>4345</v>
      </c>
    </row>
    <row r="326" spans="124:135">
      <c r="DT326" t="s">
        <v>3947</v>
      </c>
      <c r="DU326" t="s">
        <v>56</v>
      </c>
      <c r="DW326" t="s">
        <v>2350</v>
      </c>
      <c r="DX326" t="s">
        <v>2348</v>
      </c>
      <c r="ED326" t="s">
        <v>4273</v>
      </c>
      <c r="EE326" t="s">
        <v>4345</v>
      </c>
    </row>
    <row r="327" spans="124:135">
      <c r="DT327" t="s">
        <v>3952</v>
      </c>
      <c r="DU327" t="s">
        <v>60</v>
      </c>
      <c r="DW327" t="s">
        <v>2351</v>
      </c>
      <c r="DX327" t="s">
        <v>2349</v>
      </c>
      <c r="ED327" t="s">
        <v>4328</v>
      </c>
      <c r="EE327" t="s">
        <v>4346</v>
      </c>
    </row>
    <row r="328" spans="124:135">
      <c r="DT328" t="s">
        <v>3957</v>
      </c>
      <c r="DU328" t="s">
        <v>63</v>
      </c>
      <c r="DW328" t="s">
        <v>4143</v>
      </c>
      <c r="DX328" t="s">
        <v>2229</v>
      </c>
      <c r="ED328" t="s">
        <v>4329</v>
      </c>
      <c r="EE328" t="s">
        <v>4347</v>
      </c>
    </row>
    <row r="329" spans="124:135">
      <c r="DT329" t="s">
        <v>3962</v>
      </c>
      <c r="DU329" t="s">
        <v>65</v>
      </c>
      <c r="DW329" t="s">
        <v>4144</v>
      </c>
      <c r="DX329" t="s">
        <v>2230</v>
      </c>
      <c r="ED329" t="s">
        <v>4290</v>
      </c>
      <c r="EE329" t="s">
        <v>4346</v>
      </c>
    </row>
    <row r="330" spans="124:135">
      <c r="DT330" t="s">
        <v>3967</v>
      </c>
      <c r="DU330" t="s">
        <v>64</v>
      </c>
      <c r="DW330" t="s">
        <v>4145</v>
      </c>
      <c r="DX330" t="s">
        <v>2231</v>
      </c>
      <c r="ED330" t="s">
        <v>4291</v>
      </c>
      <c r="EE330" t="s">
        <v>4347</v>
      </c>
    </row>
    <row r="331" spans="124:135">
      <c r="DT331" t="s">
        <v>3972</v>
      </c>
      <c r="DU331" t="s">
        <v>1006</v>
      </c>
      <c r="DW331" t="s">
        <v>4146</v>
      </c>
      <c r="DX331" t="s">
        <v>2232</v>
      </c>
      <c r="ED331" s="445" t="s">
        <v>4348</v>
      </c>
      <c r="EE331" t="s">
        <v>4346</v>
      </c>
    </row>
    <row r="332" spans="124:135">
      <c r="DT332" t="s">
        <v>3977</v>
      </c>
      <c r="DU332" t="s">
        <v>47</v>
      </c>
      <c r="DW332" t="s">
        <v>2367</v>
      </c>
      <c r="DX332" t="s">
        <v>2365</v>
      </c>
      <c r="ED332" t="s">
        <v>4349</v>
      </c>
      <c r="EE332" t="s">
        <v>4347</v>
      </c>
    </row>
    <row r="333" spans="124:135">
      <c r="DT333" t="s">
        <v>4017</v>
      </c>
      <c r="DU333" t="s">
        <v>74</v>
      </c>
      <c r="DW333" t="s">
        <v>2368</v>
      </c>
      <c r="DX333" t="s">
        <v>2366</v>
      </c>
    </row>
    <row r="334" spans="124:135">
      <c r="DT334" t="s">
        <v>4022</v>
      </c>
      <c r="DU334" t="s">
        <v>76</v>
      </c>
      <c r="DW334" t="s">
        <v>2609</v>
      </c>
      <c r="DX334" t="s">
        <v>2608</v>
      </c>
    </row>
    <row r="335" spans="124:135">
      <c r="DT335" t="s">
        <v>4027</v>
      </c>
      <c r="DU335" t="s">
        <v>72</v>
      </c>
      <c r="DW335" t="s">
        <v>4130</v>
      </c>
      <c r="DX335" t="s">
        <v>2227</v>
      </c>
    </row>
    <row r="336" spans="124:135">
      <c r="DT336" t="s">
        <v>4032</v>
      </c>
      <c r="DU336" t="s">
        <v>69</v>
      </c>
      <c r="DW336" t="s">
        <v>4132</v>
      </c>
      <c r="DX336" t="s">
        <v>2228</v>
      </c>
    </row>
    <row r="337" spans="124:128">
      <c r="DT337" t="s">
        <v>4037</v>
      </c>
      <c r="DU337" t="s">
        <v>73</v>
      </c>
      <c r="DW337" t="s">
        <v>2514</v>
      </c>
      <c r="DX337" t="s">
        <v>2348</v>
      </c>
    </row>
    <row r="338" spans="124:128">
      <c r="DT338" t="s">
        <v>4042</v>
      </c>
      <c r="DU338" t="s">
        <v>71</v>
      </c>
      <c r="DW338" t="s">
        <v>2515</v>
      </c>
      <c r="DX338" t="s">
        <v>2349</v>
      </c>
    </row>
    <row r="339" spans="124:128">
      <c r="DT339" t="s">
        <v>4047</v>
      </c>
      <c r="DU339" t="s">
        <v>70</v>
      </c>
      <c r="DW339" t="s">
        <v>4134</v>
      </c>
      <c r="DX339" t="s">
        <v>2229</v>
      </c>
    </row>
    <row r="340" spans="124:128">
      <c r="DT340" t="s">
        <v>4062</v>
      </c>
      <c r="DU340" t="s">
        <v>539</v>
      </c>
      <c r="DW340" t="s">
        <v>4136</v>
      </c>
      <c r="DX340" t="s">
        <v>2230</v>
      </c>
    </row>
    <row r="341" spans="124:128">
      <c r="DT341" t="s">
        <v>4072</v>
      </c>
      <c r="DU341" t="s">
        <v>541</v>
      </c>
      <c r="DW341" t="s">
        <v>4138</v>
      </c>
      <c r="DX341" t="s">
        <v>2231</v>
      </c>
    </row>
    <row r="342" spans="124:128">
      <c r="DT342" t="s">
        <v>4077</v>
      </c>
      <c r="DU342" t="s">
        <v>1664</v>
      </c>
      <c r="DW342" t="s">
        <v>4140</v>
      </c>
      <c r="DX342" t="s">
        <v>2232</v>
      </c>
    </row>
    <row r="343" spans="124:128">
      <c r="DT343" t="s">
        <v>3794</v>
      </c>
      <c r="DU343" t="s">
        <v>712</v>
      </c>
      <c r="DW343" t="s">
        <v>2516</v>
      </c>
      <c r="DX343" t="s">
        <v>2365</v>
      </c>
    </row>
    <row r="344" spans="124:128">
      <c r="DT344" t="s">
        <v>3803</v>
      </c>
      <c r="DU344" t="s">
        <v>715</v>
      </c>
      <c r="DW344" t="s">
        <v>2517</v>
      </c>
      <c r="DX344" t="s">
        <v>2366</v>
      </c>
    </row>
    <row r="345" spans="124:128">
      <c r="DT345" t="s">
        <v>3813</v>
      </c>
      <c r="DU345" t="s">
        <v>1656</v>
      </c>
      <c r="DW345" t="s">
        <v>2610</v>
      </c>
      <c r="DX345" t="s">
        <v>2608</v>
      </c>
    </row>
    <row r="346" spans="124:128">
      <c r="DT346" t="s">
        <v>3818</v>
      </c>
      <c r="DU346" t="s">
        <v>1425</v>
      </c>
      <c r="DW346" t="s">
        <v>3541</v>
      </c>
      <c r="DX346" t="s">
        <v>3641</v>
      </c>
    </row>
    <row r="347" spans="124:128">
      <c r="DT347" t="s">
        <v>3823</v>
      </c>
      <c r="DU347" t="s">
        <v>1426</v>
      </c>
      <c r="DW347" t="s">
        <v>3542</v>
      </c>
      <c r="DX347" t="s">
        <v>3542</v>
      </c>
    </row>
    <row r="348" spans="124:128">
      <c r="DT348" t="s">
        <v>3828</v>
      </c>
      <c r="DU348" t="s">
        <v>1427</v>
      </c>
      <c r="DW348" t="s">
        <v>3565</v>
      </c>
      <c r="DX348" t="s">
        <v>3565</v>
      </c>
    </row>
    <row r="349" spans="124:128">
      <c r="DT349" t="s">
        <v>3833</v>
      </c>
      <c r="DU349" t="s">
        <v>1657</v>
      </c>
      <c r="DW349" t="s">
        <v>3571</v>
      </c>
      <c r="DX349" t="s">
        <v>3642</v>
      </c>
    </row>
    <row r="350" spans="124:128">
      <c r="DT350" t="s">
        <v>3838</v>
      </c>
      <c r="DU350" t="s">
        <v>716</v>
      </c>
      <c r="DW350" t="s">
        <v>3572</v>
      </c>
      <c r="DX350" t="s">
        <v>3572</v>
      </c>
    </row>
    <row r="351" spans="124:128">
      <c r="DT351" t="s">
        <v>3848</v>
      </c>
      <c r="DU351" t="s">
        <v>2456</v>
      </c>
      <c r="DW351" t="s">
        <v>3585</v>
      </c>
      <c r="DX351" t="s">
        <v>3643</v>
      </c>
    </row>
    <row r="352" spans="124:128">
      <c r="DT352" t="s">
        <v>3853</v>
      </c>
      <c r="DU352" t="s">
        <v>727</v>
      </c>
      <c r="DW352" t="s">
        <v>3589</v>
      </c>
      <c r="DX352" t="s">
        <v>3589</v>
      </c>
    </row>
    <row r="353" spans="124:128">
      <c r="DT353" t="s">
        <v>3858</v>
      </c>
      <c r="DU353" t="s">
        <v>719</v>
      </c>
      <c r="DW353" s="507" t="s">
        <v>3574</v>
      </c>
      <c r="DX353" t="s">
        <v>3642</v>
      </c>
    </row>
    <row r="354" spans="124:128">
      <c r="DT354" t="s">
        <v>3863</v>
      </c>
      <c r="DU354" t="s">
        <v>1658</v>
      </c>
      <c r="DW354" s="507" t="s">
        <v>3572</v>
      </c>
      <c r="DX354" t="s">
        <v>3572</v>
      </c>
    </row>
    <row r="355" spans="124:128">
      <c r="DT355" t="s">
        <v>3868</v>
      </c>
      <c r="DU355" t="s">
        <v>1650</v>
      </c>
      <c r="DW355" s="507" t="s">
        <v>3586</v>
      </c>
      <c r="DX355" t="s">
        <v>3643</v>
      </c>
    </row>
    <row r="356" spans="124:128">
      <c r="DT356" t="s">
        <v>3878</v>
      </c>
      <c r="DU356" t="s">
        <v>1652</v>
      </c>
      <c r="DW356" s="507" t="s">
        <v>3575</v>
      </c>
      <c r="DX356" t="s">
        <v>3642</v>
      </c>
    </row>
    <row r="357" spans="124:128">
      <c r="DT357" t="s">
        <v>3883</v>
      </c>
      <c r="DU357" t="s">
        <v>720</v>
      </c>
      <c r="DW357" s="507" t="s">
        <v>3572</v>
      </c>
      <c r="DX357" t="s">
        <v>3572</v>
      </c>
    </row>
    <row r="358" spans="124:128">
      <c r="DT358" t="s">
        <v>3888</v>
      </c>
      <c r="DU358" t="s">
        <v>721</v>
      </c>
      <c r="DW358" s="507" t="s">
        <v>3587</v>
      </c>
      <c r="DX358" t="s">
        <v>3643</v>
      </c>
    </row>
    <row r="359" spans="124:128">
      <c r="DT359" t="s">
        <v>3893</v>
      </c>
      <c r="DU359" t="s">
        <v>722</v>
      </c>
      <c r="DW359" s="318" t="s">
        <v>4110</v>
      </c>
      <c r="DX359" t="s">
        <v>3565</v>
      </c>
    </row>
    <row r="360" spans="124:128">
      <c r="DT360" t="s">
        <v>3898</v>
      </c>
      <c r="DU360" t="s">
        <v>723</v>
      </c>
      <c r="DW360" s="507" t="s">
        <v>3576</v>
      </c>
      <c r="DX360" t="s">
        <v>3642</v>
      </c>
    </row>
    <row r="361" spans="124:128">
      <c r="DT361" t="s">
        <v>3908</v>
      </c>
      <c r="DU361" t="s">
        <v>725</v>
      </c>
      <c r="DW361" s="507" t="s">
        <v>3573</v>
      </c>
      <c r="DX361" t="s">
        <v>3572</v>
      </c>
    </row>
    <row r="362" spans="124:128">
      <c r="DT362" t="s">
        <v>3913</v>
      </c>
      <c r="DU362" t="s">
        <v>61</v>
      </c>
      <c r="DW362" s="507" t="s">
        <v>4112</v>
      </c>
      <c r="DX362" t="s">
        <v>3643</v>
      </c>
    </row>
    <row r="363" spans="124:128">
      <c r="DT363" t="s">
        <v>3918</v>
      </c>
      <c r="DU363" t="s">
        <v>62</v>
      </c>
      <c r="DW363" s="507" t="s">
        <v>3588</v>
      </c>
      <c r="DX363" t="s">
        <v>3589</v>
      </c>
    </row>
    <row r="364" spans="124:128">
      <c r="DT364" t="s">
        <v>3923</v>
      </c>
      <c r="DU364" t="s">
        <v>45</v>
      </c>
      <c r="DW364" s="445" t="s">
        <v>3544</v>
      </c>
      <c r="DX364" s="445" t="s">
        <v>3566</v>
      </c>
    </row>
    <row r="365" spans="124:128">
      <c r="DT365" t="s">
        <v>3928</v>
      </c>
      <c r="DU365" t="s">
        <v>51</v>
      </c>
      <c r="DW365" s="507" t="s">
        <v>3542</v>
      </c>
      <c r="DX365" s="445" t="s">
        <v>3543</v>
      </c>
    </row>
    <row r="366" spans="124:128">
      <c r="DT366" t="s">
        <v>3933</v>
      </c>
      <c r="DU366" t="s">
        <v>52</v>
      </c>
      <c r="DW366" s="445" t="s">
        <v>3566</v>
      </c>
      <c r="DX366" s="445" t="s">
        <v>3566</v>
      </c>
    </row>
    <row r="367" spans="124:128">
      <c r="DT367" t="s">
        <v>3938</v>
      </c>
      <c r="DU367" t="s">
        <v>53</v>
      </c>
      <c r="DW367" s="445" t="s">
        <v>3543</v>
      </c>
      <c r="DX367" s="445" t="s">
        <v>3543</v>
      </c>
    </row>
    <row r="368" spans="124:128">
      <c r="DT368" t="s">
        <v>3943</v>
      </c>
      <c r="DU368" t="s">
        <v>46</v>
      </c>
      <c r="DW368" s="445" t="s">
        <v>4109</v>
      </c>
      <c r="DX368" s="445" t="s">
        <v>3566</v>
      </c>
    </row>
    <row r="369" spans="124:128">
      <c r="DT369" t="s">
        <v>3948</v>
      </c>
      <c r="DU369" t="s">
        <v>56</v>
      </c>
      <c r="DW369" s="507" t="s">
        <v>3547</v>
      </c>
      <c r="DX369" s="445" t="s">
        <v>3543</v>
      </c>
    </row>
    <row r="370" spans="124:128">
      <c r="DT370" t="s">
        <v>3953</v>
      </c>
      <c r="DU370" t="s">
        <v>60</v>
      </c>
    </row>
    <row r="371" spans="124:128">
      <c r="DT371" t="s">
        <v>3958</v>
      </c>
      <c r="DU371" t="s">
        <v>63</v>
      </c>
    </row>
    <row r="372" spans="124:128">
      <c r="DT372" t="s">
        <v>3963</v>
      </c>
      <c r="DU372" t="s">
        <v>65</v>
      </c>
    </row>
    <row r="373" spans="124:128">
      <c r="DT373" t="s">
        <v>3968</v>
      </c>
      <c r="DU373" t="s">
        <v>64</v>
      </c>
    </row>
    <row r="374" spans="124:128">
      <c r="DT374" t="s">
        <v>3973</v>
      </c>
      <c r="DU374" t="s">
        <v>1006</v>
      </c>
    </row>
    <row r="375" spans="124:128">
      <c r="DT375" t="s">
        <v>3978</v>
      </c>
      <c r="DU375" t="s">
        <v>47</v>
      </c>
    </row>
    <row r="376" spans="124:128">
      <c r="DT376" t="s">
        <v>4018</v>
      </c>
      <c r="DU376" t="s">
        <v>74</v>
      </c>
    </row>
    <row r="377" spans="124:128">
      <c r="DT377" t="s">
        <v>4023</v>
      </c>
      <c r="DU377" t="s">
        <v>76</v>
      </c>
    </row>
    <row r="378" spans="124:128">
      <c r="DT378" t="s">
        <v>4028</v>
      </c>
      <c r="DU378" t="s">
        <v>72</v>
      </c>
    </row>
    <row r="379" spans="124:128">
      <c r="DT379" t="s">
        <v>4033</v>
      </c>
      <c r="DU379" t="s">
        <v>69</v>
      </c>
    </row>
    <row r="380" spans="124:128">
      <c r="DT380" t="s">
        <v>4038</v>
      </c>
      <c r="DU380" t="s">
        <v>73</v>
      </c>
    </row>
    <row r="381" spans="124:128">
      <c r="DT381" t="s">
        <v>4043</v>
      </c>
      <c r="DU381" t="s">
        <v>71</v>
      </c>
    </row>
    <row r="382" spans="124:128">
      <c r="DT382" t="s">
        <v>4048</v>
      </c>
      <c r="DU382" t="s">
        <v>70</v>
      </c>
    </row>
    <row r="383" spans="124:128">
      <c r="DT383" t="s">
        <v>4063</v>
      </c>
      <c r="DU383" t="s">
        <v>539</v>
      </c>
    </row>
    <row r="384" spans="124:128">
      <c r="DT384" t="s">
        <v>4073</v>
      </c>
      <c r="DU384" t="s">
        <v>541</v>
      </c>
    </row>
    <row r="385" spans="124:125">
      <c r="DT385" t="s">
        <v>4078</v>
      </c>
      <c r="DU385" t="s">
        <v>1664</v>
      </c>
    </row>
    <row r="386" spans="124:125">
      <c r="DT386" t="s">
        <v>3795</v>
      </c>
      <c r="DU386" t="s">
        <v>712</v>
      </c>
    </row>
    <row r="387" spans="124:125">
      <c r="DT387" t="s">
        <v>3804</v>
      </c>
      <c r="DU387" t="s">
        <v>715</v>
      </c>
    </row>
    <row r="388" spans="124:125">
      <c r="DT388" t="s">
        <v>3814</v>
      </c>
      <c r="DU388" t="s">
        <v>1656</v>
      </c>
    </row>
    <row r="389" spans="124:125">
      <c r="DT389" t="s">
        <v>3819</v>
      </c>
      <c r="DU389" t="s">
        <v>1425</v>
      </c>
    </row>
    <row r="390" spans="124:125">
      <c r="DT390" t="s">
        <v>3824</v>
      </c>
      <c r="DU390" t="s">
        <v>1426</v>
      </c>
    </row>
    <row r="391" spans="124:125">
      <c r="DT391" t="s">
        <v>3829</v>
      </c>
      <c r="DU391" t="s">
        <v>1427</v>
      </c>
    </row>
    <row r="392" spans="124:125">
      <c r="DT392" t="s">
        <v>3834</v>
      </c>
      <c r="DU392" t="s">
        <v>1657</v>
      </c>
    </row>
    <row r="393" spans="124:125">
      <c r="DT393" t="s">
        <v>3839</v>
      </c>
      <c r="DU393" t="s">
        <v>716</v>
      </c>
    </row>
    <row r="394" spans="124:125">
      <c r="DT394" t="s">
        <v>3849</v>
      </c>
      <c r="DU394" t="s">
        <v>2456</v>
      </c>
    </row>
    <row r="395" spans="124:125">
      <c r="DT395" t="s">
        <v>3854</v>
      </c>
      <c r="DU395" t="s">
        <v>727</v>
      </c>
    </row>
    <row r="396" spans="124:125">
      <c r="DT396" t="s">
        <v>3859</v>
      </c>
      <c r="DU396" t="s">
        <v>719</v>
      </c>
    </row>
    <row r="397" spans="124:125">
      <c r="DT397" t="s">
        <v>3864</v>
      </c>
      <c r="DU397" t="s">
        <v>1658</v>
      </c>
    </row>
    <row r="398" spans="124:125">
      <c r="DT398" t="s">
        <v>3869</v>
      </c>
      <c r="DU398" t="s">
        <v>1650</v>
      </c>
    </row>
    <row r="399" spans="124:125">
      <c r="DT399" t="s">
        <v>3879</v>
      </c>
      <c r="DU399" t="s">
        <v>1652</v>
      </c>
    </row>
    <row r="400" spans="124:125">
      <c r="DT400" t="s">
        <v>3884</v>
      </c>
      <c r="DU400" t="s">
        <v>720</v>
      </c>
    </row>
    <row r="401" spans="124:125">
      <c r="DT401" t="s">
        <v>3889</v>
      </c>
      <c r="DU401" t="s">
        <v>721</v>
      </c>
    </row>
    <row r="402" spans="124:125">
      <c r="DT402" t="s">
        <v>3894</v>
      </c>
      <c r="DU402" t="s">
        <v>722</v>
      </c>
    </row>
    <row r="403" spans="124:125">
      <c r="DT403" t="s">
        <v>3899</v>
      </c>
      <c r="DU403" t="s">
        <v>723</v>
      </c>
    </row>
    <row r="404" spans="124:125">
      <c r="DT404" t="s">
        <v>3909</v>
      </c>
      <c r="DU404" t="s">
        <v>725</v>
      </c>
    </row>
    <row r="405" spans="124:125">
      <c r="DT405" t="s">
        <v>3914</v>
      </c>
      <c r="DU405" t="s">
        <v>61</v>
      </c>
    </row>
    <row r="406" spans="124:125">
      <c r="DT406" t="s">
        <v>3919</v>
      </c>
      <c r="DU406" t="s">
        <v>62</v>
      </c>
    </row>
    <row r="407" spans="124:125">
      <c r="DT407" t="s">
        <v>3924</v>
      </c>
      <c r="DU407" t="s">
        <v>45</v>
      </c>
    </row>
    <row r="408" spans="124:125">
      <c r="DT408" t="s">
        <v>3929</v>
      </c>
      <c r="DU408" t="s">
        <v>51</v>
      </c>
    </row>
    <row r="409" spans="124:125">
      <c r="DT409" t="s">
        <v>3934</v>
      </c>
      <c r="DU409" t="s">
        <v>52</v>
      </c>
    </row>
    <row r="410" spans="124:125">
      <c r="DT410" t="s">
        <v>3939</v>
      </c>
      <c r="DU410" t="s">
        <v>53</v>
      </c>
    </row>
    <row r="411" spans="124:125">
      <c r="DT411" t="s">
        <v>3944</v>
      </c>
      <c r="DU411" t="s">
        <v>46</v>
      </c>
    </row>
    <row r="412" spans="124:125">
      <c r="DT412" t="s">
        <v>3949</v>
      </c>
      <c r="DU412" t="s">
        <v>56</v>
      </c>
    </row>
    <row r="413" spans="124:125">
      <c r="DT413" t="s">
        <v>3954</v>
      </c>
      <c r="DU413" t="s">
        <v>60</v>
      </c>
    </row>
    <row r="414" spans="124:125">
      <c r="DT414" t="s">
        <v>3959</v>
      </c>
      <c r="DU414" t="s">
        <v>63</v>
      </c>
    </row>
    <row r="415" spans="124:125">
      <c r="DT415" t="s">
        <v>3964</v>
      </c>
      <c r="DU415" t="s">
        <v>65</v>
      </c>
    </row>
    <row r="416" spans="124:125">
      <c r="DT416" t="s">
        <v>3969</v>
      </c>
      <c r="DU416" t="s">
        <v>64</v>
      </c>
    </row>
    <row r="417" spans="124:125">
      <c r="DT417" t="s">
        <v>3974</v>
      </c>
      <c r="DU417" t="s">
        <v>1006</v>
      </c>
    </row>
    <row r="418" spans="124:125">
      <c r="DT418" t="s">
        <v>3979</v>
      </c>
      <c r="DU418" t="s">
        <v>47</v>
      </c>
    </row>
    <row r="419" spans="124:125">
      <c r="DT419" t="s">
        <v>4019</v>
      </c>
      <c r="DU419" t="s">
        <v>74</v>
      </c>
    </row>
    <row r="420" spans="124:125">
      <c r="DT420" t="s">
        <v>4024</v>
      </c>
      <c r="DU420" t="s">
        <v>76</v>
      </c>
    </row>
    <row r="421" spans="124:125">
      <c r="DT421" t="s">
        <v>4029</v>
      </c>
      <c r="DU421" t="s">
        <v>72</v>
      </c>
    </row>
    <row r="422" spans="124:125">
      <c r="DT422" t="s">
        <v>4034</v>
      </c>
      <c r="DU422" t="s">
        <v>69</v>
      </c>
    </row>
    <row r="423" spans="124:125">
      <c r="DT423" t="s">
        <v>4039</v>
      </c>
      <c r="DU423" t="s">
        <v>73</v>
      </c>
    </row>
    <row r="424" spans="124:125">
      <c r="DT424" t="s">
        <v>4044</v>
      </c>
      <c r="DU424" t="s">
        <v>71</v>
      </c>
    </row>
    <row r="425" spans="124:125">
      <c r="DT425" t="s">
        <v>4049</v>
      </c>
      <c r="DU425" t="s">
        <v>70</v>
      </c>
    </row>
    <row r="426" spans="124:125">
      <c r="DT426" t="s">
        <v>4064</v>
      </c>
      <c r="DU426" t="s">
        <v>539</v>
      </c>
    </row>
    <row r="427" spans="124:125">
      <c r="DT427" t="s">
        <v>4074</v>
      </c>
      <c r="DU427" t="s">
        <v>541</v>
      </c>
    </row>
    <row r="428" spans="124:125">
      <c r="DT428" t="s">
        <v>4079</v>
      </c>
      <c r="DU428" t="s">
        <v>1664</v>
      </c>
    </row>
    <row r="429" spans="124:125">
      <c r="DT429" t="s">
        <v>3796</v>
      </c>
      <c r="DU429" t="s">
        <v>712</v>
      </c>
    </row>
    <row r="430" spans="124:125">
      <c r="DT430" t="s">
        <v>3805</v>
      </c>
      <c r="DU430" t="s">
        <v>715</v>
      </c>
    </row>
    <row r="431" spans="124:125">
      <c r="DT431" t="s">
        <v>3815</v>
      </c>
      <c r="DU431" t="s">
        <v>1656</v>
      </c>
    </row>
    <row r="432" spans="124:125">
      <c r="DT432" t="s">
        <v>3820</v>
      </c>
      <c r="DU432" t="s">
        <v>1425</v>
      </c>
    </row>
    <row r="433" spans="124:125">
      <c r="DT433" t="s">
        <v>3825</v>
      </c>
      <c r="DU433" t="s">
        <v>1426</v>
      </c>
    </row>
    <row r="434" spans="124:125">
      <c r="DT434" t="s">
        <v>3830</v>
      </c>
      <c r="DU434" t="s">
        <v>1427</v>
      </c>
    </row>
    <row r="435" spans="124:125">
      <c r="DT435" t="s">
        <v>3835</v>
      </c>
      <c r="DU435" t="s">
        <v>1657</v>
      </c>
    </row>
    <row r="436" spans="124:125">
      <c r="DT436" t="s">
        <v>3840</v>
      </c>
      <c r="DU436" t="s">
        <v>716</v>
      </c>
    </row>
    <row r="437" spans="124:125">
      <c r="DT437" t="s">
        <v>3850</v>
      </c>
      <c r="DU437" t="s">
        <v>2456</v>
      </c>
    </row>
    <row r="438" spans="124:125">
      <c r="DT438" t="s">
        <v>3855</v>
      </c>
      <c r="DU438" t="s">
        <v>727</v>
      </c>
    </row>
    <row r="439" spans="124:125">
      <c r="DT439" t="s">
        <v>3860</v>
      </c>
      <c r="DU439" t="s">
        <v>719</v>
      </c>
    </row>
    <row r="440" spans="124:125">
      <c r="DT440" t="s">
        <v>3865</v>
      </c>
      <c r="DU440" t="s">
        <v>1658</v>
      </c>
    </row>
    <row r="441" spans="124:125">
      <c r="DT441" t="s">
        <v>3870</v>
      </c>
      <c r="DU441" t="s">
        <v>1650</v>
      </c>
    </row>
    <row r="442" spans="124:125">
      <c r="DT442" t="s">
        <v>3880</v>
      </c>
      <c r="DU442" t="s">
        <v>1652</v>
      </c>
    </row>
    <row r="443" spans="124:125">
      <c r="DT443" t="s">
        <v>3885</v>
      </c>
      <c r="DU443" t="s">
        <v>720</v>
      </c>
    </row>
    <row r="444" spans="124:125">
      <c r="DT444" t="s">
        <v>3890</v>
      </c>
      <c r="DU444" t="s">
        <v>721</v>
      </c>
    </row>
    <row r="445" spans="124:125">
      <c r="DT445" t="s">
        <v>3895</v>
      </c>
      <c r="DU445" t="s">
        <v>722</v>
      </c>
    </row>
    <row r="446" spans="124:125">
      <c r="DT446" t="s">
        <v>3900</v>
      </c>
      <c r="DU446" t="s">
        <v>723</v>
      </c>
    </row>
    <row r="447" spans="124:125">
      <c r="DT447" t="s">
        <v>3910</v>
      </c>
      <c r="DU447" t="s">
        <v>725</v>
      </c>
    </row>
    <row r="448" spans="124:125">
      <c r="DT448" t="s">
        <v>3915</v>
      </c>
      <c r="DU448" t="s">
        <v>61</v>
      </c>
    </row>
    <row r="449" spans="124:125">
      <c r="DT449" t="s">
        <v>3920</v>
      </c>
      <c r="DU449" t="s">
        <v>62</v>
      </c>
    </row>
    <row r="450" spans="124:125">
      <c r="DT450" t="s">
        <v>3925</v>
      </c>
      <c r="DU450" t="s">
        <v>45</v>
      </c>
    </row>
    <row r="451" spans="124:125">
      <c r="DT451" t="s">
        <v>3930</v>
      </c>
      <c r="DU451" t="s">
        <v>51</v>
      </c>
    </row>
    <row r="452" spans="124:125">
      <c r="DT452" t="s">
        <v>3935</v>
      </c>
      <c r="DU452" t="s">
        <v>52</v>
      </c>
    </row>
    <row r="453" spans="124:125">
      <c r="DT453" t="s">
        <v>3940</v>
      </c>
      <c r="DU453" t="s">
        <v>53</v>
      </c>
    </row>
    <row r="454" spans="124:125">
      <c r="DT454" t="s">
        <v>3945</v>
      </c>
      <c r="DU454" t="s">
        <v>46</v>
      </c>
    </row>
    <row r="455" spans="124:125">
      <c r="DT455" t="s">
        <v>3950</v>
      </c>
      <c r="DU455" t="s">
        <v>56</v>
      </c>
    </row>
    <row r="456" spans="124:125">
      <c r="DT456" t="s">
        <v>3955</v>
      </c>
      <c r="DU456" t="s">
        <v>60</v>
      </c>
    </row>
    <row r="457" spans="124:125">
      <c r="DT457" t="s">
        <v>3960</v>
      </c>
      <c r="DU457" t="s">
        <v>63</v>
      </c>
    </row>
    <row r="458" spans="124:125">
      <c r="DT458" t="s">
        <v>3965</v>
      </c>
      <c r="DU458" t="s">
        <v>65</v>
      </c>
    </row>
    <row r="459" spans="124:125">
      <c r="DT459" t="s">
        <v>3970</v>
      </c>
      <c r="DU459" t="s">
        <v>64</v>
      </c>
    </row>
    <row r="460" spans="124:125">
      <c r="DT460" t="s">
        <v>3975</v>
      </c>
      <c r="DU460" t="s">
        <v>1006</v>
      </c>
    </row>
    <row r="461" spans="124:125">
      <c r="DT461" t="s">
        <v>3980</v>
      </c>
      <c r="DU461" t="s">
        <v>47</v>
      </c>
    </row>
    <row r="462" spans="124:125">
      <c r="DT462" t="s">
        <v>4020</v>
      </c>
      <c r="DU462" t="s">
        <v>74</v>
      </c>
    </row>
    <row r="463" spans="124:125">
      <c r="DT463" t="s">
        <v>4025</v>
      </c>
      <c r="DU463" t="s">
        <v>76</v>
      </c>
    </row>
    <row r="464" spans="124:125">
      <c r="DT464" t="s">
        <v>4030</v>
      </c>
      <c r="DU464" t="s">
        <v>72</v>
      </c>
    </row>
    <row r="465" spans="124:125">
      <c r="DT465" t="s">
        <v>4035</v>
      </c>
      <c r="DU465" t="s">
        <v>69</v>
      </c>
    </row>
    <row r="466" spans="124:125">
      <c r="DT466" t="s">
        <v>4040</v>
      </c>
      <c r="DU466" t="s">
        <v>73</v>
      </c>
    </row>
    <row r="467" spans="124:125">
      <c r="DT467" t="s">
        <v>4045</v>
      </c>
      <c r="DU467" t="s">
        <v>71</v>
      </c>
    </row>
    <row r="468" spans="124:125">
      <c r="DT468" t="s">
        <v>4050</v>
      </c>
      <c r="DU468" t="s">
        <v>70</v>
      </c>
    </row>
    <row r="469" spans="124:125">
      <c r="DT469" t="s">
        <v>4065</v>
      </c>
      <c r="DU469" t="s">
        <v>539</v>
      </c>
    </row>
    <row r="470" spans="124:125">
      <c r="DT470" t="s">
        <v>4075</v>
      </c>
      <c r="DU470" t="s">
        <v>541</v>
      </c>
    </row>
    <row r="471" spans="124:125">
      <c r="DT471" t="s">
        <v>4080</v>
      </c>
      <c r="DU471" t="s">
        <v>1664</v>
      </c>
    </row>
    <row r="472" spans="124:125">
      <c r="DT472" t="s">
        <v>4066</v>
      </c>
      <c r="DU472" t="s">
        <v>3169</v>
      </c>
    </row>
    <row r="473" spans="124:125">
      <c r="DT473" t="s">
        <v>3806</v>
      </c>
      <c r="DU473" t="s">
        <v>3527</v>
      </c>
    </row>
    <row r="474" spans="124:125">
      <c r="DT474" t="s">
        <v>3841</v>
      </c>
      <c r="DU474" t="s">
        <v>3528</v>
      </c>
    </row>
    <row r="475" spans="124:125">
      <c r="DT475" t="s">
        <v>3871</v>
      </c>
      <c r="DU475" t="s">
        <v>3529</v>
      </c>
    </row>
    <row r="476" spans="124:125">
      <c r="DT476" t="s">
        <v>3901</v>
      </c>
      <c r="DU476" t="s">
        <v>3530</v>
      </c>
    </row>
    <row r="477" spans="124:125">
      <c r="DT477" t="s">
        <v>4081</v>
      </c>
      <c r="DU477" t="s">
        <v>3557</v>
      </c>
    </row>
    <row r="478" spans="124:125">
      <c r="DT478" t="s">
        <v>4086</v>
      </c>
      <c r="DU478" t="s">
        <v>3558</v>
      </c>
    </row>
    <row r="479" spans="124:125">
      <c r="DT479" t="s">
        <v>4091</v>
      </c>
      <c r="DU479" t="s">
        <v>3559</v>
      </c>
    </row>
    <row r="480" spans="124:125">
      <c r="DT480" t="s">
        <v>4096</v>
      </c>
      <c r="DU480" t="s">
        <v>3560</v>
      </c>
    </row>
    <row r="481" spans="124:125">
      <c r="DT481" t="s">
        <v>4082</v>
      </c>
      <c r="DU481" t="s">
        <v>3557</v>
      </c>
    </row>
    <row r="482" spans="124:125">
      <c r="DT482" t="s">
        <v>4087</v>
      </c>
      <c r="DU482" t="s">
        <v>3558</v>
      </c>
    </row>
    <row r="483" spans="124:125">
      <c r="DT483" t="s">
        <v>4092</v>
      </c>
      <c r="DU483" t="s">
        <v>3559</v>
      </c>
    </row>
    <row r="484" spans="124:125">
      <c r="DT484" t="s">
        <v>4097</v>
      </c>
      <c r="DU484" t="s">
        <v>3560</v>
      </c>
    </row>
    <row r="485" spans="124:125">
      <c r="DT485" t="s">
        <v>4083</v>
      </c>
      <c r="DU485" t="s">
        <v>3557</v>
      </c>
    </row>
    <row r="486" spans="124:125">
      <c r="DT486" t="s">
        <v>4088</v>
      </c>
      <c r="DU486" t="s">
        <v>3558</v>
      </c>
    </row>
    <row r="487" spans="124:125">
      <c r="DT487" t="s">
        <v>4093</v>
      </c>
      <c r="DU487" t="s">
        <v>3559</v>
      </c>
    </row>
    <row r="488" spans="124:125">
      <c r="DT488" t="s">
        <v>4098</v>
      </c>
      <c r="DU488" t="s">
        <v>3560</v>
      </c>
    </row>
    <row r="489" spans="124:125">
      <c r="DT489" t="s">
        <v>4084</v>
      </c>
      <c r="DU489" t="s">
        <v>3557</v>
      </c>
    </row>
    <row r="490" spans="124:125">
      <c r="DT490" t="s">
        <v>4089</v>
      </c>
      <c r="DU490" t="s">
        <v>3558</v>
      </c>
    </row>
    <row r="491" spans="124:125">
      <c r="DT491" t="s">
        <v>4094</v>
      </c>
      <c r="DU491" t="s">
        <v>3559</v>
      </c>
    </row>
    <row r="492" spans="124:125">
      <c r="DT492" t="s">
        <v>4099</v>
      </c>
      <c r="DU492" t="s">
        <v>3560</v>
      </c>
    </row>
    <row r="493" spans="124:125">
      <c r="DT493" t="s">
        <v>4085</v>
      </c>
      <c r="DU493" t="s">
        <v>3557</v>
      </c>
    </row>
    <row r="494" spans="124:125">
      <c r="DT494" t="s">
        <v>4090</v>
      </c>
      <c r="DU494" t="s">
        <v>3558</v>
      </c>
    </row>
    <row r="495" spans="124:125">
      <c r="DT495" t="s">
        <v>4095</v>
      </c>
      <c r="DU495" t="s">
        <v>3559</v>
      </c>
    </row>
    <row r="496" spans="124:125">
      <c r="DT496" t="s">
        <v>4100</v>
      </c>
      <c r="DU496" t="s">
        <v>3560</v>
      </c>
    </row>
    <row r="497" spans="124:125">
      <c r="DT497" s="531" t="s">
        <v>4255</v>
      </c>
      <c r="DU497" t="s">
        <v>4101</v>
      </c>
    </row>
    <row r="498" spans="124:125">
      <c r="DT498" s="531" t="s">
        <v>4256</v>
      </c>
      <c r="DU498" t="s">
        <v>4101</v>
      </c>
    </row>
    <row r="499" spans="124:125">
      <c r="DT499" s="531" t="s">
        <v>4257</v>
      </c>
      <c r="DU499" t="s">
        <v>4101</v>
      </c>
    </row>
    <row r="500" spans="124:125">
      <c r="DT500" s="531" t="s">
        <v>4258</v>
      </c>
      <c r="DU500" t="s">
        <v>4101</v>
      </c>
    </row>
    <row r="501" spans="124:125">
      <c r="DT501" s="531" t="s">
        <v>4259</v>
      </c>
      <c r="DU501" t="s">
        <v>4101</v>
      </c>
    </row>
    <row r="502" spans="124:125">
      <c r="DT502" s="531" t="s">
        <v>3902</v>
      </c>
      <c r="DU502" t="s">
        <v>3530</v>
      </c>
    </row>
    <row r="503" spans="124:125">
      <c r="DT503" s="531" t="s">
        <v>3903</v>
      </c>
      <c r="DU503" t="s">
        <v>3530</v>
      </c>
    </row>
    <row r="504" spans="124:125">
      <c r="DT504" s="531" t="s">
        <v>3904</v>
      </c>
      <c r="DU504" t="s">
        <v>3530</v>
      </c>
    </row>
    <row r="505" spans="124:125">
      <c r="DT505" s="445" t="s">
        <v>3905</v>
      </c>
      <c r="DU505" t="s">
        <v>3530</v>
      </c>
    </row>
    <row r="506" spans="124:125">
      <c r="DT506" s="532" t="s">
        <v>3981</v>
      </c>
      <c r="DU506" t="s">
        <v>4336</v>
      </c>
    </row>
    <row r="507" spans="124:125">
      <c r="DT507" s="532" t="s">
        <v>3986</v>
      </c>
      <c r="DU507" t="s">
        <v>4337</v>
      </c>
    </row>
    <row r="508" spans="124:125">
      <c r="DT508" s="532" t="s">
        <v>57</v>
      </c>
      <c r="DU508" t="s">
        <v>57</v>
      </c>
    </row>
    <row r="509" spans="124:125">
      <c r="DT509" s="532" t="s">
        <v>58</v>
      </c>
      <c r="DU509" t="s">
        <v>58</v>
      </c>
    </row>
    <row r="510" spans="124:125">
      <c r="DT510" s="532" t="s">
        <v>3991</v>
      </c>
      <c r="DU510" t="s">
        <v>4338</v>
      </c>
    </row>
    <row r="511" spans="124:125">
      <c r="DT511" s="532" t="s">
        <v>3996</v>
      </c>
      <c r="DU511" t="s">
        <v>4339</v>
      </c>
    </row>
    <row r="512" spans="124:125">
      <c r="DT512" s="532" t="s">
        <v>55</v>
      </c>
      <c r="DU512" t="s">
        <v>55</v>
      </c>
    </row>
    <row r="513" spans="124:125">
      <c r="DT513" s="532" t="s">
        <v>4001</v>
      </c>
      <c r="DU513" t="s">
        <v>4340</v>
      </c>
    </row>
    <row r="514" spans="124:125">
      <c r="DT514" s="532" t="s">
        <v>67</v>
      </c>
      <c r="DU514" t="s">
        <v>67</v>
      </c>
    </row>
    <row r="515" spans="124:125">
      <c r="DT515" s="532" t="s">
        <v>4006</v>
      </c>
      <c r="DU515" t="s">
        <v>4341</v>
      </c>
    </row>
    <row r="516" spans="124:125">
      <c r="DT516" s="532" t="s">
        <v>4011</v>
      </c>
      <c r="DU516" t="s">
        <v>4342</v>
      </c>
    </row>
    <row r="517" spans="124:125">
      <c r="DT517" s="532" t="s">
        <v>4051</v>
      </c>
      <c r="DU517" t="s">
        <v>4343</v>
      </c>
    </row>
    <row r="518" spans="124:125">
      <c r="DT518" s="532" t="s">
        <v>4056</v>
      </c>
      <c r="DU518" t="str">
        <f t="shared" ref="DU518" si="1">LEFT(DT518,16)</f>
        <v>Matelac RAL 1586</v>
      </c>
    </row>
    <row r="519" spans="124:125">
      <c r="DT519" s="531" t="s">
        <v>3807</v>
      </c>
      <c r="DU519" s="531" t="s">
        <v>3527</v>
      </c>
    </row>
    <row r="520" spans="124:125">
      <c r="DT520" s="531" t="s">
        <v>3842</v>
      </c>
      <c r="DU520" s="531" t="s">
        <v>3528</v>
      </c>
    </row>
    <row r="521" spans="124:125">
      <c r="DT521" s="531" t="s">
        <v>3872</v>
      </c>
      <c r="DU521" s="531" t="s">
        <v>3529</v>
      </c>
    </row>
    <row r="522" spans="124:125">
      <c r="DT522" s="532" t="s">
        <v>3982</v>
      </c>
      <c r="DU522" s="532" t="s">
        <v>4336</v>
      </c>
    </row>
    <row r="523" spans="124:125">
      <c r="DT523" s="532" t="s">
        <v>3987</v>
      </c>
      <c r="DU523" s="532" t="s">
        <v>4337</v>
      </c>
    </row>
    <row r="524" spans="124:125">
      <c r="DT524" s="532" t="s">
        <v>3992</v>
      </c>
      <c r="DU524" s="532" t="s">
        <v>4338</v>
      </c>
    </row>
    <row r="525" spans="124:125">
      <c r="DT525" s="532" t="s">
        <v>3997</v>
      </c>
      <c r="DU525" s="532" t="s">
        <v>4339</v>
      </c>
    </row>
    <row r="526" spans="124:125">
      <c r="DT526" s="532" t="s">
        <v>4002</v>
      </c>
      <c r="DU526" s="532" t="s">
        <v>4340</v>
      </c>
    </row>
    <row r="527" spans="124:125">
      <c r="DT527" s="532" t="s">
        <v>4007</v>
      </c>
      <c r="DU527" s="532" t="s">
        <v>4341</v>
      </c>
    </row>
    <row r="528" spans="124:125">
      <c r="DT528" s="532" t="s">
        <v>4012</v>
      </c>
      <c r="DU528" s="532" t="s">
        <v>4342</v>
      </c>
    </row>
    <row r="529" spans="124:125">
      <c r="DT529" s="532" t="s">
        <v>4052</v>
      </c>
      <c r="DU529" s="532" t="s">
        <v>4343</v>
      </c>
    </row>
    <row r="530" spans="124:125">
      <c r="DT530" s="532" t="s">
        <v>4057</v>
      </c>
      <c r="DU530" s="532" t="s">
        <v>4344</v>
      </c>
    </row>
    <row r="531" spans="124:125">
      <c r="DT531" s="533" t="s">
        <v>4067</v>
      </c>
      <c r="DU531" s="533" t="s">
        <v>3169</v>
      </c>
    </row>
    <row r="532" spans="124:125">
      <c r="DT532" s="531" t="s">
        <v>3808</v>
      </c>
      <c r="DU532" s="531" t="s">
        <v>3527</v>
      </c>
    </row>
    <row r="533" spans="124:125">
      <c r="DT533" s="531" t="s">
        <v>3843</v>
      </c>
      <c r="DU533" s="531" t="s">
        <v>3528</v>
      </c>
    </row>
    <row r="534" spans="124:125">
      <c r="DT534" s="531" t="s">
        <v>3873</v>
      </c>
      <c r="DU534" t="s">
        <v>3529</v>
      </c>
    </row>
    <row r="535" spans="124:125">
      <c r="DT535" s="531" t="s">
        <v>3874</v>
      </c>
      <c r="DU535" t="s">
        <v>3529</v>
      </c>
    </row>
    <row r="536" spans="124:125">
      <c r="DT536" s="445" t="s">
        <v>3875</v>
      </c>
      <c r="DU536" t="s">
        <v>3529</v>
      </c>
    </row>
    <row r="537" spans="124:125">
      <c r="DT537" s="531" t="s">
        <v>3983</v>
      </c>
      <c r="DU537" s="531" t="s">
        <v>4336</v>
      </c>
    </row>
    <row r="538" spans="124:125">
      <c r="DT538" s="531" t="s">
        <v>3988</v>
      </c>
      <c r="DU538" s="531" t="s">
        <v>4337</v>
      </c>
    </row>
    <row r="539" spans="124:125">
      <c r="DT539" s="531" t="s">
        <v>3993</v>
      </c>
      <c r="DU539" s="531" t="s">
        <v>4338</v>
      </c>
    </row>
    <row r="540" spans="124:125">
      <c r="DT540" s="531" t="s">
        <v>3998</v>
      </c>
      <c r="DU540" s="531" t="s">
        <v>4339</v>
      </c>
    </row>
    <row r="541" spans="124:125">
      <c r="DT541" s="531" t="s">
        <v>4003</v>
      </c>
      <c r="DU541" s="531" t="s">
        <v>4340</v>
      </c>
    </row>
    <row r="542" spans="124:125">
      <c r="DT542" s="532" t="s">
        <v>4004</v>
      </c>
      <c r="DU542" s="532" t="s">
        <v>4340</v>
      </c>
    </row>
    <row r="543" spans="124:125">
      <c r="DT543" s="445" t="s">
        <v>4005</v>
      </c>
      <c r="DU543" s="445" t="s">
        <v>4340</v>
      </c>
    </row>
    <row r="544" spans="124:125">
      <c r="DT544" s="531" t="s">
        <v>4008</v>
      </c>
      <c r="DU544" s="531" t="s">
        <v>4341</v>
      </c>
    </row>
    <row r="545" spans="124:125">
      <c r="DT545" s="531" t="s">
        <v>4013</v>
      </c>
      <c r="DU545" s="531" t="s">
        <v>4342</v>
      </c>
    </row>
    <row r="546" spans="124:125">
      <c r="DT546" s="532" t="s">
        <v>4009</v>
      </c>
      <c r="DU546" s="532" t="s">
        <v>4341</v>
      </c>
    </row>
    <row r="547" spans="124:125">
      <c r="DT547" s="532" t="s">
        <v>4014</v>
      </c>
      <c r="DU547" s="532" t="s">
        <v>4342</v>
      </c>
    </row>
    <row r="548" spans="124:125">
      <c r="DT548" s="445" t="s">
        <v>4010</v>
      </c>
      <c r="DU548" s="445" t="s">
        <v>4341</v>
      </c>
    </row>
    <row r="549" spans="124:125">
      <c r="DT549" s="445" t="s">
        <v>4015</v>
      </c>
      <c r="DU549" s="445" t="s">
        <v>4342</v>
      </c>
    </row>
    <row r="550" spans="124:125">
      <c r="DT550" s="531" t="s">
        <v>4053</v>
      </c>
      <c r="DU550" s="531" t="s">
        <v>4343</v>
      </c>
    </row>
    <row r="551" spans="124:125">
      <c r="DT551" s="531" t="s">
        <v>4058</v>
      </c>
      <c r="DU551" s="531" t="s">
        <v>4344</v>
      </c>
    </row>
    <row r="552" spans="124:125">
      <c r="DT552" s="532" t="s">
        <v>4054</v>
      </c>
      <c r="DU552" s="531" t="s">
        <v>4343</v>
      </c>
    </row>
    <row r="553" spans="124:125">
      <c r="DT553" s="532" t="s">
        <v>4059</v>
      </c>
      <c r="DU553" s="531" t="s">
        <v>4344</v>
      </c>
    </row>
    <row r="554" spans="124:125">
      <c r="DT554" s="445" t="s">
        <v>4055</v>
      </c>
      <c r="DU554" s="531" t="s">
        <v>4343</v>
      </c>
    </row>
    <row r="555" spans="124:125">
      <c r="DT555" s="445" t="s">
        <v>4060</v>
      </c>
      <c r="DU555" s="531" t="s">
        <v>4344</v>
      </c>
    </row>
    <row r="556" spans="124:125">
      <c r="DT556" s="533" t="s">
        <v>4068</v>
      </c>
      <c r="DU556" t="s">
        <v>3169</v>
      </c>
    </row>
    <row r="557" spans="124:125">
      <c r="DT557" s="533" t="s">
        <v>4069</v>
      </c>
      <c r="DU557" t="s">
        <v>3169</v>
      </c>
    </row>
    <row r="558" spans="124:125">
      <c r="DT558" s="533" t="s">
        <v>4070</v>
      </c>
      <c r="DU558" t="s">
        <v>3169</v>
      </c>
    </row>
    <row r="559" spans="124:125">
      <c r="DT559" s="531" t="s">
        <v>3809</v>
      </c>
      <c r="DU559" t="s">
        <v>3527</v>
      </c>
    </row>
    <row r="560" spans="124:125">
      <c r="DT560" s="445" t="s">
        <v>3810</v>
      </c>
      <c r="DU560" t="s">
        <v>3527</v>
      </c>
    </row>
    <row r="561" spans="124:125">
      <c r="DT561" s="531" t="s">
        <v>3844</v>
      </c>
      <c r="DU561" t="s">
        <v>3528</v>
      </c>
    </row>
    <row r="562" spans="124:125">
      <c r="DT562" s="445" t="s">
        <v>3845</v>
      </c>
      <c r="DU562" t="s">
        <v>3528</v>
      </c>
    </row>
    <row r="563" spans="124:125">
      <c r="DT563" s="532" t="s">
        <v>3984</v>
      </c>
      <c r="DU563" s="531" t="s">
        <v>4336</v>
      </c>
    </row>
    <row r="564" spans="124:125">
      <c r="DT564" s="532" t="s">
        <v>3989</v>
      </c>
      <c r="DU564" s="531" t="s">
        <v>4337</v>
      </c>
    </row>
    <row r="565" spans="124:125">
      <c r="DT565" s="445" t="s">
        <v>3985</v>
      </c>
      <c r="DU565" s="531" t="s">
        <v>4336</v>
      </c>
    </row>
    <row r="566" spans="124:125">
      <c r="DT566" s="445" t="s">
        <v>3990</v>
      </c>
      <c r="DU566" s="531" t="s">
        <v>4337</v>
      </c>
    </row>
    <row r="567" spans="124:125">
      <c r="DT567" s="532" t="s">
        <v>3994</v>
      </c>
      <c r="DU567" s="531" t="s">
        <v>4338</v>
      </c>
    </row>
    <row r="568" spans="124:125">
      <c r="DT568" s="532" t="s">
        <v>3999</v>
      </c>
      <c r="DU568" s="531" t="s">
        <v>4339</v>
      </c>
    </row>
    <row r="569" spans="124:125">
      <c r="DT569" s="445" t="s">
        <v>3995</v>
      </c>
      <c r="DU569" s="531" t="s">
        <v>4338</v>
      </c>
    </row>
    <row r="570" spans="124:125">
      <c r="DT570" s="445" t="s">
        <v>4000</v>
      </c>
      <c r="DU570" s="531" t="str">
        <f t="shared" ref="DU570" si="2">LEFT(DT570,16)</f>
        <v>Lacobel RAL 1164</v>
      </c>
    </row>
  </sheetData>
  <phoneticPr fontId="6" type="noConversion"/>
  <conditionalFormatting sqref="A32:A34 A50:A55 A57:A61 A3:A13 A15:A29 A38:A42 A44:A48 A72:A99">
    <cfRule type="expression" dxfId="676" priority="526" stopIfTrue="1">
      <formula>AND(COUNTIF($A$38:$A$42, A3)+COUNTIF($A$3:$A$13, A3)+COUNTIF($A$15:$A$29, A3)+COUNTIF($A$32:$A$34, A3)+COUNTIF($A$44:$A$48, A3)+COUNTIF($A$50:$A$55, A3)+COUNTIF($A$57:$A$99, A3)&gt;1,NOT(ISBLANK(A3)))</formula>
    </cfRule>
  </conditionalFormatting>
  <conditionalFormatting sqref="A33 A55 A57:A61">
    <cfRule type="expression" dxfId="675" priority="489" stopIfTrue="1">
      <formula>AND(COUNTIF($A$55:$A$55, A33)+COUNTIF($A$57:$A$62, A33)+COUNTIF($A$33:$A$33, A33)&gt;1,NOT(ISBLANK(A33)))</formula>
    </cfRule>
  </conditionalFormatting>
  <conditionalFormatting sqref="F14:F19">
    <cfRule type="duplicateValues" dxfId="674" priority="27"/>
  </conditionalFormatting>
  <conditionalFormatting sqref="P2:P61 P63:P65536">
    <cfRule type="expression" dxfId="673" priority="459" stopIfTrue="1">
      <formula>AND(COUNTIF($P$63:$P$65536, P2)+COUNTIF($P$2:$P$61, P2)&gt;1,NOT(ISBLANK(P2)))</formula>
    </cfRule>
  </conditionalFormatting>
  <conditionalFormatting sqref="Q2 Q4 Q6:Q62 Q68:Q65536">
    <cfRule type="expression" dxfId="672" priority="532" stopIfTrue="1">
      <formula>AND(COUNTIF($Q$68:$Q$65536, Q2)+COUNTIF($Q$2:$Q$2, Q2)+COUNTIF($Q$4:$Q$4, Q2)+COUNTIF($Q$6:$Q$62, Q2)&gt;1,NOT(ISBLANK(Q2)))</formula>
    </cfRule>
  </conditionalFormatting>
  <conditionalFormatting sqref="R4:R6">
    <cfRule type="duplicateValues" dxfId="671" priority="49"/>
  </conditionalFormatting>
  <conditionalFormatting sqref="R7:R8">
    <cfRule type="duplicateValues" dxfId="670" priority="48"/>
  </conditionalFormatting>
  <conditionalFormatting sqref="R9">
    <cfRule type="duplicateValues" dxfId="669" priority="47"/>
  </conditionalFormatting>
  <conditionalFormatting sqref="R10:R33">
    <cfRule type="duplicateValues" dxfId="668" priority="413"/>
  </conditionalFormatting>
  <conditionalFormatting sqref="R34:R39">
    <cfRule type="duplicateValues" dxfId="667" priority="502"/>
  </conditionalFormatting>
  <conditionalFormatting sqref="R40:R42">
    <cfRule type="duplicateValues" dxfId="666" priority="44"/>
  </conditionalFormatting>
  <conditionalFormatting sqref="R49:R55">
    <cfRule type="duplicateValues" dxfId="665" priority="60"/>
  </conditionalFormatting>
  <conditionalFormatting sqref="R49:R61 R2 R63:R65536">
    <cfRule type="expression" dxfId="664" priority="458" stopIfTrue="1">
      <formula>AND(COUNTIF($R$2:$R$2, R2)+COUNTIF($R$63:$R$65536, R2)+COUNTIF($R$49:$R$61, R2)&gt;1,NOT(ISBLANK(R2)))</formula>
    </cfRule>
  </conditionalFormatting>
  <conditionalFormatting sqref="R56:R57">
    <cfRule type="duplicateValues" dxfId="663" priority="61"/>
  </conditionalFormatting>
  <conditionalFormatting sqref="R58:R61 R63">
    <cfRule type="expression" dxfId="662" priority="460" stopIfTrue="1">
      <formula>AND(COUNTIF($R$63:$R$63, R58)+COUNTIF($R$58:$R$61, R58)&gt;1,NOT(ISBLANK(R58)))</formula>
    </cfRule>
  </conditionalFormatting>
  <conditionalFormatting sqref="S4">
    <cfRule type="duplicateValues" dxfId="661" priority="43"/>
  </conditionalFormatting>
  <conditionalFormatting sqref="S6:S9">
    <cfRule type="duplicateValues" dxfId="660" priority="10"/>
  </conditionalFormatting>
  <conditionalFormatting sqref="S10:S15">
    <cfRule type="duplicateValues" dxfId="659" priority="42"/>
  </conditionalFormatting>
  <conditionalFormatting sqref="S16:S17">
    <cfRule type="duplicateValues" dxfId="658" priority="41"/>
  </conditionalFormatting>
  <conditionalFormatting sqref="S18:S23">
    <cfRule type="duplicateValues" dxfId="657" priority="303"/>
  </conditionalFormatting>
  <conditionalFormatting sqref="S24:S52">
    <cfRule type="duplicateValues" dxfId="656" priority="69"/>
  </conditionalFormatting>
  <conditionalFormatting sqref="T4">
    <cfRule type="duplicateValues" dxfId="655" priority="39"/>
  </conditionalFormatting>
  <conditionalFormatting sqref="U4:U6">
    <cfRule type="duplicateValues" dxfId="654" priority="36"/>
  </conditionalFormatting>
  <conditionalFormatting sqref="U7:U30">
    <cfRule type="duplicateValues" dxfId="653" priority="435"/>
  </conditionalFormatting>
  <conditionalFormatting sqref="U31:U37">
    <cfRule type="duplicateValues" dxfId="652" priority="508"/>
  </conditionalFormatting>
  <conditionalFormatting sqref="U38:U40">
    <cfRule type="duplicateValues" dxfId="651" priority="33"/>
  </conditionalFormatting>
  <conditionalFormatting sqref="V4:V6">
    <cfRule type="duplicateValues" dxfId="650" priority="32"/>
  </conditionalFormatting>
  <conditionalFormatting sqref="V7:V30">
    <cfRule type="duplicateValues" dxfId="649" priority="447"/>
  </conditionalFormatting>
  <conditionalFormatting sqref="V31:V37">
    <cfRule type="duplicateValues" dxfId="648" priority="514"/>
  </conditionalFormatting>
  <conditionalFormatting sqref="V38:V40">
    <cfRule type="duplicateValues" dxfId="647" priority="29"/>
  </conditionalFormatting>
  <conditionalFormatting sqref="AC4:AC13 AC15:AC23 AC29:AC34 AC40:AC41 AC43:AC45 AC50:AC53 AC60:AC63">
    <cfRule type="cellIs" dxfId="646" priority="73" operator="equal">
      <formula>1</formula>
    </cfRule>
  </conditionalFormatting>
  <conditionalFormatting sqref="BQ9:BQ10">
    <cfRule type="duplicateValues" dxfId="645" priority="25"/>
  </conditionalFormatting>
  <conditionalFormatting sqref="BQ2:BR2">
    <cfRule type="duplicateValues" dxfId="644" priority="26"/>
  </conditionalFormatting>
  <conditionalFormatting sqref="DT2:DT44">
    <cfRule type="duplicateValues" dxfId="641" priority="6"/>
  </conditionalFormatting>
  <conditionalFormatting sqref="DT2:DT570">
    <cfRule type="duplicateValues" dxfId="640" priority="1"/>
  </conditionalFormatting>
  <conditionalFormatting sqref="DT45:DT87">
    <cfRule type="duplicateValues" dxfId="639" priority="4"/>
  </conditionalFormatting>
  <conditionalFormatting sqref="DT88:DT130">
    <cfRule type="duplicateValues" dxfId="638" priority="5"/>
  </conditionalFormatting>
  <conditionalFormatting sqref="DT131:DT173">
    <cfRule type="duplicateValues" dxfId="637" priority="7"/>
  </conditionalFormatting>
  <conditionalFormatting sqref="DT174:DT217">
    <cfRule type="duplicateValues" dxfId="636" priority="8"/>
  </conditionalFormatting>
  <conditionalFormatting sqref="DT257:DT287">
    <cfRule type="duplicateValues" dxfId="635" priority="19"/>
  </conditionalFormatting>
  <conditionalFormatting sqref="DU257:DU286">
    <cfRule type="duplicateValues" dxfId="634" priority="14"/>
  </conditionalFormatting>
  <conditionalFormatting sqref="DU287">
    <cfRule type="duplicateValues" dxfId="633" priority="13"/>
  </conditionalFormatting>
  <conditionalFormatting sqref="DW346:DW347">
    <cfRule type="expression" dxfId="632" priority="9" stopIfTrue="1">
      <formula>AND(COUNTIF($A$38:$A$42, DW346)+COUNTIF($A$3:$A$13, DW346)+COUNTIF($A$15:$A$29, DW346)+COUNTIF($A$32:$A$34, DW346)+COUNTIF($A$44:$A$48, DW346)+COUNTIF($A$50:$A$55, DW346)+COUNTIF($A$57:$A$99, DW346)&gt;1,NOT(ISBLANK(DW346)))</formula>
    </cfRule>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2"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3" id="{257F6BD4-66BB-407F-B97B-27CD670152DA}">
            <xm:f>OR(Ram_1!$AU$10=2,Ram_1!$AU$10=3)</xm:f>
            <x14:dxf>
              <fill>
                <patternFill patternType="darkDown"/>
              </fill>
            </x14:dxf>
          </x14:cfRule>
          <xm:sqref>CH14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AF66"/>
  <sheetViews>
    <sheetView topLeftCell="C19" workbookViewId="0">
      <selection activeCell="H40" sqref="H4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s>
  <sheetData>
    <row r="1" spans="1:32">
      <c r="A1" s="291" t="s">
        <v>1988</v>
      </c>
      <c r="B1" s="291"/>
      <c r="C1" s="291"/>
      <c r="D1" s="291"/>
      <c r="E1" s="291"/>
      <c r="F1" s="291"/>
      <c r="G1" s="291"/>
      <c r="H1" s="291"/>
      <c r="I1" s="291"/>
      <c r="J1" s="291"/>
      <c r="K1" s="291"/>
      <c r="L1" s="291"/>
      <c r="M1" s="291"/>
      <c r="N1" s="291"/>
      <c r="O1" s="291"/>
      <c r="P1" s="291"/>
      <c r="Q1" s="291"/>
      <c r="R1" s="291"/>
      <c r="S1" s="292"/>
      <c r="T1" s="291" t="s">
        <v>728</v>
      </c>
      <c r="U1" s="291"/>
      <c r="V1" s="291"/>
      <c r="W1" s="291"/>
      <c r="X1" s="292"/>
      <c r="Y1" s="291" t="s">
        <v>22</v>
      </c>
      <c r="Z1" s="291"/>
      <c r="AA1" s="291"/>
      <c r="AB1" s="291"/>
      <c r="AC1" s="291"/>
      <c r="AD1" s="291"/>
      <c r="AE1" s="291"/>
      <c r="AF1" s="292"/>
    </row>
    <row r="2" spans="1:32">
      <c r="A2" s="294" t="s">
        <v>2000</v>
      </c>
      <c r="B2" s="294" t="s">
        <v>1023</v>
      </c>
      <c r="C2" s="294"/>
      <c r="D2">
        <v>1</v>
      </c>
      <c r="E2">
        <v>2</v>
      </c>
      <c r="F2">
        <v>3</v>
      </c>
      <c r="G2">
        <v>4</v>
      </c>
      <c r="H2">
        <v>5</v>
      </c>
      <c r="I2">
        <v>6</v>
      </c>
      <c r="J2">
        <v>7</v>
      </c>
      <c r="K2">
        <v>8</v>
      </c>
      <c r="L2">
        <v>9</v>
      </c>
      <c r="M2">
        <v>10</v>
      </c>
      <c r="N2">
        <v>11</v>
      </c>
      <c r="O2">
        <v>12</v>
      </c>
      <c r="P2">
        <v>13</v>
      </c>
      <c r="Q2">
        <v>14</v>
      </c>
      <c r="R2">
        <v>15</v>
      </c>
      <c r="S2" s="292"/>
      <c r="T2" s="293" t="s">
        <v>1990</v>
      </c>
      <c r="U2" s="293" t="s">
        <v>1434</v>
      </c>
      <c r="V2" s="293" t="s">
        <v>2001</v>
      </c>
      <c r="W2" s="293" t="s">
        <v>2002</v>
      </c>
      <c r="X2" s="292"/>
      <c r="Y2" s="295">
        <v>1</v>
      </c>
      <c r="Z2" s="295">
        <v>2</v>
      </c>
      <c r="AA2" s="295">
        <v>3</v>
      </c>
      <c r="AB2" s="295">
        <v>4</v>
      </c>
      <c r="AC2" s="295">
        <v>5</v>
      </c>
      <c r="AD2" s="295">
        <v>6</v>
      </c>
      <c r="AE2" s="295">
        <v>7</v>
      </c>
      <c r="AF2" s="292"/>
    </row>
    <row r="3" spans="1:32">
      <c r="A3" s="293" t="s">
        <v>245</v>
      </c>
      <c r="B3" s="293" t="s">
        <v>1025</v>
      </c>
      <c r="C3" s="293" t="str">
        <f>CONCATENATE("_",A3,"_",B3)</f>
        <v>_Úzký ALU rámeček_Aventos HF</v>
      </c>
      <c r="D3" t="s">
        <v>2098</v>
      </c>
      <c r="E3" t="s">
        <v>2099</v>
      </c>
      <c r="F3" t="s">
        <v>2100</v>
      </c>
      <c r="G3" t="s">
        <v>2101</v>
      </c>
      <c r="H3" t="s">
        <v>2102</v>
      </c>
      <c r="I3" t="s">
        <v>2103</v>
      </c>
      <c r="S3" s="292"/>
      <c r="T3">
        <v>1</v>
      </c>
      <c r="U3" t="s">
        <v>14</v>
      </c>
      <c r="V3" t="s">
        <v>2104</v>
      </c>
      <c r="W3" t="s">
        <v>2105</v>
      </c>
      <c r="X3" s="292"/>
      <c r="AF3" s="292"/>
    </row>
    <row r="4" spans="1:32">
      <c r="A4" s="293" t="s">
        <v>246</v>
      </c>
      <c r="B4" s="293" t="s">
        <v>1025</v>
      </c>
      <c r="C4" s="293" t="str">
        <f>CONCATENATE("_",A4,"_",B4)</f>
        <v>_Široký ALU rámeček_Aventos HF</v>
      </c>
      <c r="D4" t="s">
        <v>2106</v>
      </c>
      <c r="E4" t="s">
        <v>2099</v>
      </c>
      <c r="F4" t="s">
        <v>2107</v>
      </c>
      <c r="G4" t="s">
        <v>2108</v>
      </c>
      <c r="H4" t="s">
        <v>2109</v>
      </c>
      <c r="I4" t="s">
        <v>2110</v>
      </c>
      <c r="S4" s="292"/>
      <c r="V4" t="s">
        <v>2111</v>
      </c>
      <c r="W4" t="s">
        <v>2112</v>
      </c>
      <c r="X4" s="292"/>
      <c r="AF4" s="292"/>
    </row>
    <row r="5" spans="1:32">
      <c r="A5" s="296" t="s">
        <v>245</v>
      </c>
      <c r="B5" t="s">
        <v>3414</v>
      </c>
      <c r="C5" s="296" t="str">
        <f t="shared" ref="C5:C34" si="0">CONCATENATE("_",A5,"_",B5)</f>
        <v>_Úzký ALU rámeček_Aventos_HK_XS</v>
      </c>
      <c r="D5" t="s">
        <v>2098</v>
      </c>
      <c r="E5" t="s">
        <v>2099</v>
      </c>
      <c r="F5" t="s">
        <v>2114</v>
      </c>
      <c r="G5" t="s">
        <v>2115</v>
      </c>
      <c r="S5" s="292"/>
      <c r="V5" t="s">
        <v>2116</v>
      </c>
      <c r="W5" t="s">
        <v>2117</v>
      </c>
      <c r="X5" s="292"/>
      <c r="AF5" s="292"/>
    </row>
    <row r="6" spans="1:32">
      <c r="A6" s="296" t="s">
        <v>246</v>
      </c>
      <c r="B6" t="s">
        <v>3414</v>
      </c>
      <c r="C6" s="296" t="str">
        <f t="shared" si="0"/>
        <v>_Široký ALU rámeček_Aventos_HK_XS</v>
      </c>
      <c r="D6" t="s">
        <v>2118</v>
      </c>
      <c r="E6" t="s">
        <v>2099</v>
      </c>
      <c r="F6" t="s">
        <v>2119</v>
      </c>
      <c r="G6" t="s">
        <v>2110</v>
      </c>
      <c r="H6" t="s">
        <v>2115</v>
      </c>
      <c r="S6" s="292"/>
      <c r="V6" t="s">
        <v>2117</v>
      </c>
      <c r="W6" t="s">
        <v>2120</v>
      </c>
      <c r="X6" s="292"/>
      <c r="AF6" s="292"/>
    </row>
    <row r="7" spans="1:32">
      <c r="A7" s="293" t="s">
        <v>245</v>
      </c>
      <c r="B7" s="293" t="s">
        <v>2018</v>
      </c>
      <c r="C7" s="293" t="str">
        <f t="shared" si="0"/>
        <v>_Úzký ALU rámeček_FREElight</v>
      </c>
      <c r="D7" t="s">
        <v>2121</v>
      </c>
      <c r="E7" t="s">
        <v>2500</v>
      </c>
      <c r="F7" t="s">
        <v>2123</v>
      </c>
      <c r="G7" t="s">
        <v>2501</v>
      </c>
      <c r="I7" t="s">
        <v>2126</v>
      </c>
      <c r="J7" t="s">
        <v>2503</v>
      </c>
      <c r="K7" t="s">
        <v>2504</v>
      </c>
      <c r="S7" s="292"/>
      <c r="V7" t="s">
        <v>2129</v>
      </c>
      <c r="W7" t="s">
        <v>2130</v>
      </c>
      <c r="X7" s="292"/>
      <c r="AF7" s="292"/>
    </row>
    <row r="8" spans="1:32">
      <c r="A8" s="293" t="s">
        <v>246</v>
      </c>
      <c r="B8" s="293" t="s">
        <v>2018</v>
      </c>
      <c r="C8" s="293" t="str">
        <f t="shared" si="0"/>
        <v>_Široký ALU rámeček_FREElight</v>
      </c>
      <c r="D8" t="s">
        <v>2131</v>
      </c>
      <c r="E8" t="s">
        <v>2505</v>
      </c>
      <c r="F8" t="s">
        <v>2133</v>
      </c>
      <c r="G8" t="s">
        <v>2506</v>
      </c>
      <c r="H8" t="s">
        <v>2135</v>
      </c>
      <c r="I8" t="s">
        <v>2507</v>
      </c>
      <c r="S8" s="292"/>
      <c r="V8" t="s">
        <v>2137</v>
      </c>
      <c r="W8" t="s">
        <v>2138</v>
      </c>
      <c r="X8" s="292"/>
      <c r="AF8" s="292"/>
    </row>
    <row r="9" spans="1:32">
      <c r="A9" s="296" t="s">
        <v>245</v>
      </c>
      <c r="B9" s="296" t="s">
        <v>2021</v>
      </c>
      <c r="C9" s="296" t="str">
        <f t="shared" si="0"/>
        <v>_Úzký ALU rámeček_FREEfold</v>
      </c>
      <c r="D9" t="s">
        <v>2121</v>
      </c>
      <c r="E9" t="s">
        <v>2500</v>
      </c>
      <c r="F9" t="s">
        <v>2123</v>
      </c>
      <c r="G9" t="s">
        <v>2501</v>
      </c>
      <c r="I9" t="s">
        <v>2126</v>
      </c>
      <c r="J9" t="s">
        <v>2503</v>
      </c>
      <c r="K9" t="s">
        <v>2504</v>
      </c>
      <c r="S9" s="292"/>
      <c r="V9" t="s">
        <v>2139</v>
      </c>
      <c r="W9" t="s">
        <v>2117</v>
      </c>
      <c r="X9" s="292"/>
      <c r="AF9" s="292"/>
    </row>
    <row r="10" spans="1:32">
      <c r="A10" s="296" t="s">
        <v>246</v>
      </c>
      <c r="B10" s="296" t="s">
        <v>2021</v>
      </c>
      <c r="C10" s="296" t="str">
        <f t="shared" si="0"/>
        <v>_Široký ALU rámeček_FREEfold</v>
      </c>
      <c r="D10" t="s">
        <v>2131</v>
      </c>
      <c r="E10" t="s">
        <v>2505</v>
      </c>
      <c r="F10" t="s">
        <v>2133</v>
      </c>
      <c r="G10" t="s">
        <v>2506</v>
      </c>
      <c r="H10" t="s">
        <v>2135</v>
      </c>
      <c r="I10" t="s">
        <v>2507</v>
      </c>
      <c r="S10" s="292"/>
      <c r="W10" t="s">
        <v>2140</v>
      </c>
      <c r="X10" s="292"/>
      <c r="AF10" s="292"/>
    </row>
    <row r="11" spans="1:32">
      <c r="A11" s="293" t="s">
        <v>245</v>
      </c>
      <c r="B11" s="293" t="s">
        <v>2028</v>
      </c>
      <c r="C11" s="293" t="str">
        <f t="shared" si="0"/>
        <v>_Úzký ALU rámeček_Maxi</v>
      </c>
      <c r="D11" t="s">
        <v>2121</v>
      </c>
      <c r="E11" t="s">
        <v>2500</v>
      </c>
      <c r="F11" t="s">
        <v>2123</v>
      </c>
      <c r="G11" t="s">
        <v>2501</v>
      </c>
      <c r="I11" t="s">
        <v>2126</v>
      </c>
      <c r="J11" t="s">
        <v>2503</v>
      </c>
      <c r="K11" t="s">
        <v>2504</v>
      </c>
      <c r="S11" s="292"/>
      <c r="W11" t="s">
        <v>2141</v>
      </c>
      <c r="X11" s="292"/>
      <c r="AF11" s="292"/>
    </row>
    <row r="12" spans="1:32">
      <c r="A12" s="293" t="s">
        <v>246</v>
      </c>
      <c r="B12" s="293" t="s">
        <v>2028</v>
      </c>
      <c r="C12" s="293" t="str">
        <f t="shared" si="0"/>
        <v>_Široký ALU rámeček_Maxi</v>
      </c>
      <c r="D12" t="s">
        <v>2131</v>
      </c>
      <c r="E12" t="s">
        <v>2505</v>
      </c>
      <c r="F12" t="s">
        <v>2133</v>
      </c>
      <c r="G12" t="s">
        <v>2506</v>
      </c>
      <c r="H12" t="s">
        <v>2135</v>
      </c>
      <c r="I12" t="s">
        <v>2507</v>
      </c>
      <c r="S12" s="292"/>
      <c r="T12">
        <v>2</v>
      </c>
      <c r="U12" t="s">
        <v>14</v>
      </c>
      <c r="V12" t="s">
        <v>2104</v>
      </c>
      <c r="W12" t="s">
        <v>2105</v>
      </c>
      <c r="X12" s="292"/>
      <c r="AF12" s="292"/>
    </row>
    <row r="13" spans="1:32">
      <c r="A13" s="296" t="s">
        <v>245</v>
      </c>
      <c r="B13" s="296" t="s">
        <v>2026</v>
      </c>
      <c r="C13" s="296" t="str">
        <f t="shared" si="0"/>
        <v>_Úzký ALU rámeček_Duo Forte</v>
      </c>
      <c r="D13" t="s">
        <v>2142</v>
      </c>
      <c r="E13" t="s">
        <v>2143</v>
      </c>
      <c r="F13" t="s">
        <v>2144</v>
      </c>
      <c r="G13" t="s">
        <v>2145</v>
      </c>
      <c r="I13" t="s">
        <v>2147</v>
      </c>
      <c r="J13" t="s">
        <v>2148</v>
      </c>
      <c r="K13" t="s">
        <v>2149</v>
      </c>
      <c r="S13" s="292"/>
      <c r="V13" t="s">
        <v>2111</v>
      </c>
      <c r="W13" t="s">
        <v>2112</v>
      </c>
      <c r="X13" s="292"/>
      <c r="AF13" s="292"/>
    </row>
    <row r="14" spans="1:32">
      <c r="A14" s="296" t="s">
        <v>246</v>
      </c>
      <c r="B14" s="296" t="s">
        <v>2026</v>
      </c>
      <c r="C14" s="296" t="str">
        <f t="shared" si="0"/>
        <v>_Široký ALU rámeček_Duo Forte</v>
      </c>
      <c r="D14" t="s">
        <v>2150</v>
      </c>
      <c r="E14" t="s">
        <v>2151</v>
      </c>
      <c r="F14" t="s">
        <v>2152</v>
      </c>
      <c r="G14" t="s">
        <v>2153</v>
      </c>
      <c r="H14" t="s">
        <v>2154</v>
      </c>
      <c r="I14" t="s">
        <v>2155</v>
      </c>
      <c r="S14" s="292"/>
      <c r="V14" t="s">
        <v>2116</v>
      </c>
      <c r="W14" t="s">
        <v>2117</v>
      </c>
      <c r="X14" s="292"/>
      <c r="AF14" s="292"/>
    </row>
    <row r="15" spans="1:32">
      <c r="A15" s="293" t="s">
        <v>245</v>
      </c>
      <c r="B15" s="293" t="s">
        <v>2023</v>
      </c>
      <c r="C15" s="293" t="str">
        <f t="shared" si="0"/>
        <v>_Úzký ALU rámeček_Duo</v>
      </c>
      <c r="D15" t="s">
        <v>2142</v>
      </c>
      <c r="E15" t="s">
        <v>2143</v>
      </c>
      <c r="F15" t="s">
        <v>2144</v>
      </c>
      <c r="G15" t="s">
        <v>2145</v>
      </c>
      <c r="I15" t="s">
        <v>2147</v>
      </c>
      <c r="J15" t="s">
        <v>2148</v>
      </c>
      <c r="K15" t="s">
        <v>2149</v>
      </c>
      <c r="S15" s="292"/>
      <c r="V15" t="s">
        <v>2117</v>
      </c>
      <c r="W15" t="s">
        <v>2120</v>
      </c>
      <c r="X15" s="292"/>
      <c r="AF15" s="292"/>
    </row>
    <row r="16" spans="1:32">
      <c r="A16" s="293" t="s">
        <v>246</v>
      </c>
      <c r="B16" s="293" t="s">
        <v>2023</v>
      </c>
      <c r="C16" s="293" t="str">
        <f t="shared" si="0"/>
        <v>_Široký ALU rámeček_Duo</v>
      </c>
      <c r="D16" t="s">
        <v>2150</v>
      </c>
      <c r="E16" t="s">
        <v>2151</v>
      </c>
      <c r="F16" t="s">
        <v>2152</v>
      </c>
      <c r="G16" t="s">
        <v>2153</v>
      </c>
      <c r="H16" t="s">
        <v>2154</v>
      </c>
      <c r="I16" t="s">
        <v>2155</v>
      </c>
      <c r="S16" s="292"/>
      <c r="V16" t="s">
        <v>2129</v>
      </c>
      <c r="W16" t="s">
        <v>2130</v>
      </c>
      <c r="X16" s="292"/>
      <c r="AF16" s="292"/>
    </row>
    <row r="17" spans="1:32">
      <c r="A17" s="296" t="s">
        <v>245</v>
      </c>
      <c r="B17" s="296" t="s">
        <v>2029</v>
      </c>
      <c r="C17" s="296" t="str">
        <f t="shared" si="0"/>
        <v>_Úzký ALU rámeček_K12</v>
      </c>
      <c r="D17" t="s">
        <v>2121</v>
      </c>
      <c r="E17" t="s">
        <v>2500</v>
      </c>
      <c r="F17" t="s">
        <v>2123</v>
      </c>
      <c r="G17" t="s">
        <v>2501</v>
      </c>
      <c r="I17" t="s">
        <v>2126</v>
      </c>
      <c r="J17" t="s">
        <v>2503</v>
      </c>
      <c r="K17" t="s">
        <v>2504</v>
      </c>
      <c r="S17" s="292"/>
      <c r="V17" t="s">
        <v>2137</v>
      </c>
      <c r="W17" t="s">
        <v>2138</v>
      </c>
      <c r="X17" s="292"/>
      <c r="AF17" s="292"/>
    </row>
    <row r="18" spans="1:32">
      <c r="A18" s="296" t="s">
        <v>246</v>
      </c>
      <c r="B18" s="296" t="s">
        <v>2029</v>
      </c>
      <c r="C18" s="296" t="str">
        <f t="shared" si="0"/>
        <v>_Široký ALU rámeček_K12</v>
      </c>
      <c r="D18" t="s">
        <v>2131</v>
      </c>
      <c r="E18" t="s">
        <v>2505</v>
      </c>
      <c r="F18" t="s">
        <v>2133</v>
      </c>
      <c r="G18" t="s">
        <v>2506</v>
      </c>
      <c r="H18" t="s">
        <v>2135</v>
      </c>
      <c r="I18" t="s">
        <v>2507</v>
      </c>
      <c r="S18" s="292"/>
      <c r="V18" t="s">
        <v>2139</v>
      </c>
      <c r="W18" t="s">
        <v>2117</v>
      </c>
      <c r="X18" s="292"/>
      <c r="AF18" s="292"/>
    </row>
    <row r="19" spans="1:32">
      <c r="A19" s="293" t="s">
        <v>245</v>
      </c>
      <c r="B19" s="293" t="s">
        <v>2031</v>
      </c>
      <c r="C19" s="293" t="str">
        <f t="shared" si="0"/>
        <v>_Úzký ALU rámeček_Spodní K12</v>
      </c>
      <c r="D19" t="s">
        <v>2142</v>
      </c>
      <c r="E19" t="s">
        <v>2144</v>
      </c>
      <c r="F19" t="s">
        <v>2147</v>
      </c>
      <c r="S19" s="292"/>
      <c r="W19" t="s">
        <v>2140</v>
      </c>
      <c r="X19" s="292"/>
      <c r="AF19" s="292"/>
    </row>
    <row r="20" spans="1:32">
      <c r="A20" s="293" t="s">
        <v>246</v>
      </c>
      <c r="B20" s="293" t="s">
        <v>2031</v>
      </c>
      <c r="C20" s="293" t="str">
        <f t="shared" si="0"/>
        <v>_Široký ALU rámeček_Spodní K12</v>
      </c>
      <c r="D20" t="s">
        <v>2156</v>
      </c>
      <c r="E20" t="s">
        <v>2150</v>
      </c>
      <c r="F20" t="s">
        <v>2152</v>
      </c>
      <c r="G20" t="s">
        <v>2154</v>
      </c>
      <c r="S20" s="292"/>
      <c r="W20" t="s">
        <v>2141</v>
      </c>
      <c r="X20" s="292"/>
      <c r="AF20" s="292"/>
    </row>
    <row r="21" spans="1:32">
      <c r="A21" s="296" t="s">
        <v>245</v>
      </c>
      <c r="B21" s="296" t="s">
        <v>2032</v>
      </c>
      <c r="C21" s="296" t="str">
        <f t="shared" si="0"/>
        <v>_Úzký ALU rámeček_Kraby</v>
      </c>
      <c r="D21" t="s">
        <v>2121</v>
      </c>
      <c r="E21" t="s">
        <v>2500</v>
      </c>
      <c r="F21" t="s">
        <v>2123</v>
      </c>
      <c r="G21" t="s">
        <v>2501</v>
      </c>
      <c r="I21" t="s">
        <v>2126</v>
      </c>
      <c r="J21" t="s">
        <v>2503</v>
      </c>
      <c r="K21" t="s">
        <v>2504</v>
      </c>
      <c r="S21" s="292"/>
      <c r="T21">
        <v>1</v>
      </c>
      <c r="U21" t="s">
        <v>1026</v>
      </c>
      <c r="V21" t="s">
        <v>2104</v>
      </c>
      <c r="W21" t="s">
        <v>2105</v>
      </c>
      <c r="X21" s="292"/>
      <c r="AF21" s="292"/>
    </row>
    <row r="22" spans="1:32">
      <c r="A22" s="296" t="s">
        <v>246</v>
      </c>
      <c r="B22" s="296" t="s">
        <v>2032</v>
      </c>
      <c r="C22" s="296" t="str">
        <f t="shared" si="0"/>
        <v>_Široký ALU rámeček_Kraby</v>
      </c>
      <c r="D22" t="s">
        <v>2131</v>
      </c>
      <c r="E22" t="s">
        <v>2505</v>
      </c>
      <c r="F22" t="s">
        <v>2133</v>
      </c>
      <c r="G22" t="s">
        <v>2506</v>
      </c>
      <c r="H22" t="s">
        <v>2135</v>
      </c>
      <c r="I22" t="s">
        <v>2507</v>
      </c>
      <c r="S22" s="292"/>
      <c r="V22" t="s">
        <v>2111</v>
      </c>
      <c r="W22" t="s">
        <v>2112</v>
      </c>
      <c r="X22" s="292"/>
      <c r="AF22" s="292"/>
    </row>
    <row r="23" spans="1:32">
      <c r="A23" s="293" t="s">
        <v>245</v>
      </c>
      <c r="B23" s="293" t="s">
        <v>2033</v>
      </c>
      <c r="C23" s="293" t="str">
        <f t="shared" si="0"/>
        <v>_Úzký ALU rámeček_Spodní Kraby</v>
      </c>
      <c r="D23" t="s">
        <v>2142</v>
      </c>
      <c r="E23" t="s">
        <v>2144</v>
      </c>
      <c r="F23" t="s">
        <v>2147</v>
      </c>
      <c r="S23" s="292"/>
      <c r="V23" t="s">
        <v>2116</v>
      </c>
      <c r="W23" t="s">
        <v>2117</v>
      </c>
      <c r="X23" s="292"/>
      <c r="AF23" s="292"/>
    </row>
    <row r="24" spans="1:32">
      <c r="A24" s="293" t="s">
        <v>246</v>
      </c>
      <c r="B24" s="293" t="s">
        <v>2033</v>
      </c>
      <c r="C24" s="293" t="str">
        <f t="shared" si="0"/>
        <v>_Široký ALU rámeček_Spodní Kraby</v>
      </c>
      <c r="D24" t="s">
        <v>2156</v>
      </c>
      <c r="E24" t="s">
        <v>2150</v>
      </c>
      <c r="F24" t="s">
        <v>2152</v>
      </c>
      <c r="G24" t="s">
        <v>2154</v>
      </c>
      <c r="S24" s="292"/>
      <c r="V24" t="s">
        <v>2117</v>
      </c>
      <c r="W24" t="s">
        <v>2120</v>
      </c>
      <c r="X24" s="292"/>
      <c r="AF24" s="292"/>
    </row>
    <row r="25" spans="1:32">
      <c r="A25" s="296" t="s">
        <v>245</v>
      </c>
      <c r="B25" s="296" t="s">
        <v>2034</v>
      </c>
      <c r="C25" s="296" t="str">
        <f t="shared" si="0"/>
        <v>_Úzký ALU rámeček_Kiaro</v>
      </c>
      <c r="D25" t="s">
        <v>2142</v>
      </c>
      <c r="E25" t="s">
        <v>2144</v>
      </c>
      <c r="F25" t="s">
        <v>2147</v>
      </c>
      <c r="S25" s="292"/>
      <c r="V25" t="s">
        <v>2129</v>
      </c>
      <c r="W25" t="s">
        <v>2130</v>
      </c>
      <c r="X25" s="292"/>
      <c r="AF25" s="292"/>
    </row>
    <row r="26" spans="1:32">
      <c r="A26" s="296" t="s">
        <v>246</v>
      </c>
      <c r="B26" s="296" t="s">
        <v>2034</v>
      </c>
      <c r="C26" s="296" t="str">
        <f t="shared" si="0"/>
        <v>_Široký ALU rámeček_Kiaro</v>
      </c>
      <c r="D26" t="s">
        <v>2156</v>
      </c>
      <c r="E26" t="s">
        <v>2150</v>
      </c>
      <c r="F26" t="s">
        <v>2152</v>
      </c>
      <c r="G26" t="s">
        <v>2154</v>
      </c>
      <c r="S26" s="292"/>
      <c r="V26" t="s">
        <v>2137</v>
      </c>
      <c r="W26" t="s">
        <v>2138</v>
      </c>
      <c r="X26" s="292"/>
      <c r="AF26" s="292"/>
    </row>
    <row r="27" spans="1:32">
      <c r="A27" s="293" t="s">
        <v>245</v>
      </c>
      <c r="B27" s="293" t="s">
        <v>2035</v>
      </c>
      <c r="C27" s="293" t="str">
        <f t="shared" si="0"/>
        <v>_Úzký ALU rámeček_Link</v>
      </c>
      <c r="D27" t="s">
        <v>2142</v>
      </c>
      <c r="E27" t="s">
        <v>2144</v>
      </c>
      <c r="F27" t="s">
        <v>2147</v>
      </c>
      <c r="S27" s="292"/>
      <c r="V27" t="s">
        <v>2139</v>
      </c>
      <c r="W27" t="s">
        <v>2117</v>
      </c>
      <c r="X27" s="292"/>
      <c r="AF27" s="292"/>
    </row>
    <row r="28" spans="1:32">
      <c r="A28" s="293" t="s">
        <v>246</v>
      </c>
      <c r="B28" s="293" t="s">
        <v>2035</v>
      </c>
      <c r="C28" s="293" t="str">
        <f t="shared" si="0"/>
        <v>_Široký ALU rámeček_Link</v>
      </c>
      <c r="D28" t="s">
        <v>2156</v>
      </c>
      <c r="E28" t="s">
        <v>2150</v>
      </c>
      <c r="F28" t="s">
        <v>2152</v>
      </c>
      <c r="G28" t="s">
        <v>2154</v>
      </c>
      <c r="S28" s="292"/>
      <c r="W28" t="s">
        <v>2140</v>
      </c>
      <c r="X28" s="292"/>
      <c r="AF28" s="292"/>
    </row>
    <row r="29" spans="1:32">
      <c r="A29" s="296" t="s">
        <v>245</v>
      </c>
      <c r="B29" s="296" t="s">
        <v>2036</v>
      </c>
      <c r="C29" s="296" t="str">
        <f t="shared" si="0"/>
        <v>_Úzký ALU rámeček_Automatická vzpěra</v>
      </c>
      <c r="D29" t="s">
        <v>2121</v>
      </c>
      <c r="E29" t="s">
        <v>2500</v>
      </c>
      <c r="F29" t="s">
        <v>2123</v>
      </c>
      <c r="G29" t="s">
        <v>2501</v>
      </c>
      <c r="I29" t="s">
        <v>2126</v>
      </c>
      <c r="J29" t="s">
        <v>2503</v>
      </c>
      <c r="K29" t="s">
        <v>2504</v>
      </c>
      <c r="S29" s="292"/>
      <c r="W29" t="s">
        <v>2141</v>
      </c>
      <c r="X29" s="292"/>
      <c r="AF29" s="292"/>
    </row>
    <row r="30" spans="1:32">
      <c r="A30" s="296" t="s">
        <v>246</v>
      </c>
      <c r="B30" s="296" t="s">
        <v>2036</v>
      </c>
      <c r="C30" s="296" t="str">
        <f t="shared" si="0"/>
        <v>_Široký ALU rámeček_Automatická vzpěra</v>
      </c>
      <c r="D30" t="s">
        <v>2131</v>
      </c>
      <c r="E30" t="s">
        <v>2505</v>
      </c>
      <c r="F30" t="s">
        <v>2133</v>
      </c>
      <c r="G30" t="s">
        <v>2506</v>
      </c>
      <c r="H30" t="s">
        <v>2135</v>
      </c>
      <c r="I30" t="s">
        <v>2507</v>
      </c>
      <c r="S30" s="292"/>
      <c r="T30">
        <v>2</v>
      </c>
      <c r="U30" t="s">
        <v>1026</v>
      </c>
      <c r="V30" t="s">
        <v>2104</v>
      </c>
      <c r="W30" t="s">
        <v>2105</v>
      </c>
      <c r="X30" s="292"/>
      <c r="AF30" s="292"/>
    </row>
    <row r="31" spans="1:32">
      <c r="A31" s="293" t="s">
        <v>245</v>
      </c>
      <c r="B31" s="293" t="s">
        <v>2037</v>
      </c>
      <c r="C31" s="293" t="str">
        <f t="shared" si="0"/>
        <v>_Úzký ALU rámeček_Polohovací vzpěra</v>
      </c>
      <c r="D31" t="s">
        <v>2121</v>
      </c>
      <c r="E31" t="s">
        <v>2500</v>
      </c>
      <c r="F31" t="s">
        <v>2123</v>
      </c>
      <c r="G31" t="s">
        <v>2501</v>
      </c>
      <c r="I31" t="s">
        <v>2126</v>
      </c>
      <c r="J31" t="s">
        <v>2503</v>
      </c>
      <c r="K31" t="s">
        <v>2504</v>
      </c>
      <c r="S31" s="292"/>
      <c r="V31" t="s">
        <v>2111</v>
      </c>
      <c r="W31" t="s">
        <v>2112</v>
      </c>
      <c r="X31" s="292"/>
      <c r="AF31" s="292"/>
    </row>
    <row r="32" spans="1:32">
      <c r="A32" s="293" t="s">
        <v>246</v>
      </c>
      <c r="B32" s="293" t="s">
        <v>2037</v>
      </c>
      <c r="C32" s="293" t="str">
        <f t="shared" si="0"/>
        <v>_Široký ALU rámeček_Polohovací vzpěra</v>
      </c>
      <c r="D32" t="s">
        <v>2131</v>
      </c>
      <c r="E32" t="s">
        <v>2505</v>
      </c>
      <c r="F32" t="s">
        <v>2133</v>
      </c>
      <c r="G32" t="s">
        <v>2506</v>
      </c>
      <c r="H32" t="s">
        <v>2135</v>
      </c>
      <c r="I32" t="s">
        <v>2507</v>
      </c>
      <c r="S32" s="292"/>
      <c r="V32" t="s">
        <v>2116</v>
      </c>
      <c r="W32" t="s">
        <v>2117</v>
      </c>
      <c r="X32" s="292"/>
      <c r="AF32" s="292"/>
    </row>
    <row r="33" spans="1:32">
      <c r="A33" s="296" t="s">
        <v>245</v>
      </c>
      <c r="B33" s="296" t="s">
        <v>2040</v>
      </c>
      <c r="C33" s="296" t="str">
        <f t="shared" si="0"/>
        <v>_Úzký ALU rámeček_LiftMini</v>
      </c>
      <c r="D33" t="s">
        <v>2142</v>
      </c>
      <c r="E33" t="s">
        <v>2144</v>
      </c>
      <c r="F33" t="s">
        <v>2147</v>
      </c>
      <c r="S33" s="292"/>
      <c r="V33" t="s">
        <v>2117</v>
      </c>
      <c r="W33" t="s">
        <v>2120</v>
      </c>
      <c r="X33" s="292"/>
      <c r="AF33" s="292"/>
    </row>
    <row r="34" spans="1:32">
      <c r="A34" s="296" t="s">
        <v>246</v>
      </c>
      <c r="B34" s="296" t="s">
        <v>2040</v>
      </c>
      <c r="C34" s="296" t="str">
        <f t="shared" si="0"/>
        <v>_Široký ALU rámeček_LiftMini</v>
      </c>
      <c r="D34" t="s">
        <v>2156</v>
      </c>
      <c r="E34" t="s">
        <v>2150</v>
      </c>
      <c r="F34" t="s">
        <v>2152</v>
      </c>
      <c r="G34" t="s">
        <v>2154</v>
      </c>
      <c r="S34" s="292"/>
      <c r="V34" t="s">
        <v>2129</v>
      </c>
      <c r="W34" t="s">
        <v>2130</v>
      </c>
      <c r="X34" s="292"/>
      <c r="AF34" s="292"/>
    </row>
    <row r="35" spans="1:32">
      <c r="V35" t="s">
        <v>2137</v>
      </c>
      <c r="W35" t="s">
        <v>2138</v>
      </c>
    </row>
    <row r="36" spans="1:32">
      <c r="A36" t="s">
        <v>2157</v>
      </c>
      <c r="V36" t="s">
        <v>2139</v>
      </c>
      <c r="W36" t="s">
        <v>2117</v>
      </c>
    </row>
    <row r="37" spans="1:32">
      <c r="A37" t="s">
        <v>2158</v>
      </c>
      <c r="W37" t="s">
        <v>2140</v>
      </c>
    </row>
    <row r="38" spans="1:32">
      <c r="W38" t="s">
        <v>2141</v>
      </c>
    </row>
    <row r="39" spans="1:32">
      <c r="T39">
        <v>1</v>
      </c>
      <c r="U39" t="s">
        <v>2159</v>
      </c>
      <c r="V39" t="s">
        <v>2104</v>
      </c>
      <c r="W39" t="s">
        <v>2105</v>
      </c>
    </row>
    <row r="40" spans="1:32">
      <c r="V40" t="s">
        <v>2111</v>
      </c>
      <c r="W40" t="s">
        <v>2112</v>
      </c>
    </row>
    <row r="41" spans="1:32">
      <c r="V41" t="s">
        <v>2116</v>
      </c>
      <c r="W41" t="s">
        <v>2117</v>
      </c>
    </row>
    <row r="42" spans="1:32">
      <c r="V42" t="s">
        <v>2117</v>
      </c>
      <c r="W42" t="s">
        <v>2120</v>
      </c>
    </row>
    <row r="43" spans="1:32">
      <c r="V43" t="s">
        <v>2129</v>
      </c>
      <c r="W43" t="s">
        <v>2130</v>
      </c>
    </row>
    <row r="44" spans="1:32">
      <c r="V44" t="s">
        <v>2137</v>
      </c>
      <c r="W44" t="s">
        <v>2138</v>
      </c>
    </row>
    <row r="45" spans="1:32">
      <c r="V45" t="s">
        <v>2139</v>
      </c>
      <c r="W45" t="s">
        <v>2117</v>
      </c>
    </row>
    <row r="46" spans="1:32">
      <c r="W46" t="s">
        <v>2140</v>
      </c>
    </row>
    <row r="47" spans="1:32">
      <c r="W47" t="s">
        <v>2141</v>
      </c>
    </row>
    <row r="48" spans="1:32">
      <c r="T48">
        <v>2</v>
      </c>
      <c r="U48" t="s">
        <v>2159</v>
      </c>
      <c r="V48" t="s">
        <v>2104</v>
      </c>
      <c r="W48" t="s">
        <v>2105</v>
      </c>
    </row>
    <row r="49" spans="1:32">
      <c r="V49" t="s">
        <v>2111</v>
      </c>
      <c r="W49" t="s">
        <v>2112</v>
      </c>
    </row>
    <row r="50" spans="1:32">
      <c r="V50" t="s">
        <v>2116</v>
      </c>
      <c r="W50" t="s">
        <v>2117</v>
      </c>
    </row>
    <row r="51" spans="1:32">
      <c r="V51" t="s">
        <v>2117</v>
      </c>
      <c r="W51" t="s">
        <v>2120</v>
      </c>
    </row>
    <row r="52" spans="1:32">
      <c r="V52" t="s">
        <v>2129</v>
      </c>
      <c r="W52" t="s">
        <v>2130</v>
      </c>
    </row>
    <row r="53" spans="1:32">
      <c r="V53" t="s">
        <v>2137</v>
      </c>
      <c r="W53" t="s">
        <v>2138</v>
      </c>
    </row>
    <row r="54" spans="1:32">
      <c r="V54" t="s">
        <v>2139</v>
      </c>
      <c r="W54" t="s">
        <v>2117</v>
      </c>
    </row>
    <row r="55" spans="1:32">
      <c r="W55" t="s">
        <v>2140</v>
      </c>
    </row>
    <row r="56" spans="1:32">
      <c r="W56" t="s">
        <v>2141</v>
      </c>
    </row>
    <row r="57" spans="1:32">
      <c r="A57" s="293" t="s">
        <v>838</v>
      </c>
      <c r="B57" s="293" t="s">
        <v>2172</v>
      </c>
      <c r="C57" s="296" t="s">
        <v>838</v>
      </c>
      <c r="D57" s="296" t="s">
        <v>2172</v>
      </c>
      <c r="E57" s="293" t="s">
        <v>838</v>
      </c>
      <c r="F57" s="293" t="s">
        <v>2172</v>
      </c>
      <c r="G57" s="296" t="s">
        <v>838</v>
      </c>
      <c r="H57" s="296" t="s">
        <v>2172</v>
      </c>
      <c r="I57" s="293" t="s">
        <v>838</v>
      </c>
      <c r="J57" s="293" t="s">
        <v>2172</v>
      </c>
      <c r="K57" s="296" t="s">
        <v>838</v>
      </c>
      <c r="L57" s="296" t="s">
        <v>2172</v>
      </c>
      <c r="M57" s="293" t="s">
        <v>838</v>
      </c>
      <c r="N57" s="293" t="s">
        <v>2172</v>
      </c>
      <c r="O57" s="296" t="s">
        <v>838</v>
      </c>
      <c r="P57" s="296" t="s">
        <v>2172</v>
      </c>
      <c r="Q57" s="293" t="s">
        <v>838</v>
      </c>
      <c r="R57" s="293" t="s">
        <v>2172</v>
      </c>
      <c r="S57" s="296" t="s">
        <v>838</v>
      </c>
      <c r="T57" s="296" t="s">
        <v>2172</v>
      </c>
      <c r="U57" s="293" t="s">
        <v>838</v>
      </c>
      <c r="V57" s="293" t="s">
        <v>2172</v>
      </c>
      <c r="W57" s="296" t="s">
        <v>838</v>
      </c>
      <c r="X57" s="296" t="s">
        <v>2172</v>
      </c>
      <c r="Y57" s="293" t="s">
        <v>838</v>
      </c>
      <c r="Z57" s="293" t="s">
        <v>2172</v>
      </c>
      <c r="AA57" s="296" t="s">
        <v>838</v>
      </c>
      <c r="AB57" s="296" t="s">
        <v>2172</v>
      </c>
      <c r="AC57" s="293" t="s">
        <v>838</v>
      </c>
      <c r="AD57" s="293" t="s">
        <v>2172</v>
      </c>
      <c r="AE57" s="296" t="s">
        <v>838</v>
      </c>
      <c r="AF57" s="296" t="s">
        <v>2172</v>
      </c>
    </row>
    <row r="58" spans="1:32">
      <c r="A58" s="293" t="s">
        <v>1025</v>
      </c>
      <c r="B58" s="293" t="s">
        <v>1025</v>
      </c>
      <c r="C58" s="296" t="s">
        <v>2014</v>
      </c>
      <c r="D58" s="296" t="s">
        <v>2014</v>
      </c>
      <c r="E58" s="293" t="s">
        <v>2018</v>
      </c>
      <c r="F58" s="293" t="s">
        <v>2018</v>
      </c>
      <c r="G58" s="296" t="s">
        <v>2021</v>
      </c>
      <c r="H58" s="296" t="s">
        <v>2021</v>
      </c>
      <c r="I58" s="293" t="s">
        <v>2028</v>
      </c>
      <c r="J58" s="293" t="s">
        <v>2028</v>
      </c>
      <c r="K58" s="296" t="s">
        <v>2026</v>
      </c>
      <c r="L58" s="296" t="s">
        <v>2026</v>
      </c>
      <c r="M58" s="293" t="s">
        <v>2023</v>
      </c>
      <c r="N58" s="293" t="s">
        <v>2023</v>
      </c>
      <c r="O58" s="296" t="s">
        <v>2029</v>
      </c>
      <c r="P58" s="296" t="s">
        <v>2029</v>
      </c>
      <c r="Q58" s="293" t="s">
        <v>2031</v>
      </c>
      <c r="R58" s="293" t="s">
        <v>2031</v>
      </c>
      <c r="S58" s="296" t="s">
        <v>2032</v>
      </c>
      <c r="T58" s="296" t="s">
        <v>2032</v>
      </c>
      <c r="U58" s="293" t="s">
        <v>2033</v>
      </c>
      <c r="V58" s="293" t="s">
        <v>2033</v>
      </c>
      <c r="W58" s="296" t="s">
        <v>2034</v>
      </c>
      <c r="X58" s="296" t="s">
        <v>2034</v>
      </c>
      <c r="Y58" s="293" t="s">
        <v>2035</v>
      </c>
      <c r="Z58" s="293" t="s">
        <v>2035</v>
      </c>
      <c r="AA58" s="296" t="s">
        <v>2036</v>
      </c>
      <c r="AB58" s="296" t="s">
        <v>2036</v>
      </c>
      <c r="AC58" s="293" t="s">
        <v>2037</v>
      </c>
      <c r="AD58" s="293" t="s">
        <v>2037</v>
      </c>
      <c r="AE58" s="296" t="s">
        <v>2040</v>
      </c>
      <c r="AF58" s="296" t="s">
        <v>2040</v>
      </c>
    </row>
    <row r="59" spans="1:32">
      <c r="A59" s="300" t="s">
        <v>2098</v>
      </c>
      <c r="B59" s="300" t="s">
        <v>2106</v>
      </c>
      <c r="C59" s="300" t="s">
        <v>2113</v>
      </c>
      <c r="D59" s="300" t="s">
        <v>2118</v>
      </c>
      <c r="E59" s="300" t="s">
        <v>2121</v>
      </c>
      <c r="F59" s="300" t="s">
        <v>2131</v>
      </c>
      <c r="G59" s="300" t="s">
        <v>2121</v>
      </c>
      <c r="H59" s="300" t="s">
        <v>2131</v>
      </c>
      <c r="I59" s="300" t="s">
        <v>2121</v>
      </c>
      <c r="J59" s="300" t="s">
        <v>2131</v>
      </c>
      <c r="K59" s="300" t="s">
        <v>2142</v>
      </c>
      <c r="L59" s="300" t="s">
        <v>2150</v>
      </c>
      <c r="M59" s="300" t="s">
        <v>2142</v>
      </c>
      <c r="N59" s="300" t="s">
        <v>2150</v>
      </c>
      <c r="O59" s="300" t="s">
        <v>2121</v>
      </c>
      <c r="P59" s="300" t="s">
        <v>2131</v>
      </c>
      <c r="Q59" t="s">
        <v>2142</v>
      </c>
      <c r="R59" t="s">
        <v>2156</v>
      </c>
      <c r="S59" t="s">
        <v>2121</v>
      </c>
      <c r="T59" t="s">
        <v>2131</v>
      </c>
      <c r="U59" t="s">
        <v>2142</v>
      </c>
      <c r="V59" t="s">
        <v>2156</v>
      </c>
      <c r="W59" t="s">
        <v>2142</v>
      </c>
      <c r="X59" t="s">
        <v>2156</v>
      </c>
      <c r="Y59" t="s">
        <v>2142</v>
      </c>
      <c r="Z59" t="s">
        <v>2156</v>
      </c>
      <c r="AA59" t="s">
        <v>2121</v>
      </c>
      <c r="AB59" t="s">
        <v>2131</v>
      </c>
      <c r="AC59" t="s">
        <v>2121</v>
      </c>
      <c r="AD59" t="s">
        <v>2131</v>
      </c>
      <c r="AE59" t="s">
        <v>2142</v>
      </c>
      <c r="AF59" t="s">
        <v>2156</v>
      </c>
    </row>
    <row r="60" spans="1:32">
      <c r="A60" t="s">
        <v>2099</v>
      </c>
      <c r="B60" t="s">
        <v>2099</v>
      </c>
      <c r="C60" t="s">
        <v>2099</v>
      </c>
      <c r="D60" t="s">
        <v>2099</v>
      </c>
      <c r="E60" s="300" t="s">
        <v>2500</v>
      </c>
      <c r="F60" s="300" t="s">
        <v>2505</v>
      </c>
      <c r="G60" s="300" t="s">
        <v>2500</v>
      </c>
      <c r="H60" s="300" t="s">
        <v>2505</v>
      </c>
      <c r="I60" s="300" t="s">
        <v>2500</v>
      </c>
      <c r="J60" s="300" t="s">
        <v>2505</v>
      </c>
      <c r="K60" s="300" t="s">
        <v>2143</v>
      </c>
      <c r="L60" s="300" t="s">
        <v>2151</v>
      </c>
      <c r="M60" s="300" t="s">
        <v>2143</v>
      </c>
      <c r="N60" s="300" t="s">
        <v>2151</v>
      </c>
      <c r="O60" s="300" t="s">
        <v>2122</v>
      </c>
      <c r="P60" s="300" t="s">
        <v>2132</v>
      </c>
      <c r="Q60" t="s">
        <v>2144</v>
      </c>
      <c r="R60" t="s">
        <v>2150</v>
      </c>
      <c r="S60" t="s">
        <v>2122</v>
      </c>
      <c r="T60" t="s">
        <v>2132</v>
      </c>
      <c r="U60" t="s">
        <v>2144</v>
      </c>
      <c r="V60" t="s">
        <v>2150</v>
      </c>
      <c r="W60" t="s">
        <v>2144</v>
      </c>
      <c r="X60" t="s">
        <v>2150</v>
      </c>
      <c r="Y60" t="s">
        <v>2144</v>
      </c>
      <c r="Z60" t="s">
        <v>2150</v>
      </c>
      <c r="AA60" t="s">
        <v>2122</v>
      </c>
      <c r="AB60" t="s">
        <v>2132</v>
      </c>
      <c r="AC60" t="s">
        <v>2122</v>
      </c>
      <c r="AD60" t="s">
        <v>2132</v>
      </c>
      <c r="AE60" t="s">
        <v>2144</v>
      </c>
      <c r="AF60" t="s">
        <v>2150</v>
      </c>
    </row>
    <row r="61" spans="1:32">
      <c r="A61" t="s">
        <v>2100</v>
      </c>
      <c r="B61" t="s">
        <v>2107</v>
      </c>
      <c r="C61" t="s">
        <v>2114</v>
      </c>
      <c r="D61" t="s">
        <v>2119</v>
      </c>
      <c r="E61" s="300" t="s">
        <v>2123</v>
      </c>
      <c r="F61" s="300" t="s">
        <v>2133</v>
      </c>
      <c r="G61" s="300" t="s">
        <v>2123</v>
      </c>
      <c r="H61" s="300" t="s">
        <v>2133</v>
      </c>
      <c r="I61" s="300" t="s">
        <v>2123</v>
      </c>
      <c r="J61" s="300" t="s">
        <v>2133</v>
      </c>
      <c r="K61" s="300" t="s">
        <v>2144</v>
      </c>
      <c r="L61" s="300" t="s">
        <v>2152</v>
      </c>
      <c r="M61" s="300" t="s">
        <v>2144</v>
      </c>
      <c r="N61" s="300" t="s">
        <v>2152</v>
      </c>
      <c r="O61" s="300" t="s">
        <v>2123</v>
      </c>
      <c r="P61" s="300" t="s">
        <v>2133</v>
      </c>
      <c r="Q61" t="s">
        <v>2147</v>
      </c>
      <c r="R61" t="s">
        <v>2152</v>
      </c>
      <c r="S61" t="s">
        <v>2123</v>
      </c>
      <c r="T61" t="s">
        <v>2133</v>
      </c>
      <c r="U61" t="s">
        <v>2147</v>
      </c>
      <c r="V61" t="s">
        <v>2152</v>
      </c>
      <c r="W61" t="s">
        <v>2147</v>
      </c>
      <c r="X61" t="s">
        <v>2152</v>
      </c>
      <c r="Y61" t="s">
        <v>2147</v>
      </c>
      <c r="Z61" t="s">
        <v>2152</v>
      </c>
      <c r="AA61" t="s">
        <v>2123</v>
      </c>
      <c r="AB61" t="s">
        <v>2133</v>
      </c>
      <c r="AC61" t="s">
        <v>2123</v>
      </c>
      <c r="AD61" t="s">
        <v>2133</v>
      </c>
      <c r="AE61" t="s">
        <v>2147</v>
      </c>
      <c r="AF61" t="s">
        <v>2152</v>
      </c>
    </row>
    <row r="62" spans="1:32">
      <c r="A62" t="s">
        <v>2101</v>
      </c>
      <c r="B62" t="s">
        <v>2108</v>
      </c>
      <c r="C62" t="s">
        <v>2115</v>
      </c>
      <c r="D62" t="s">
        <v>2110</v>
      </c>
      <c r="E62" s="300" t="s">
        <v>2501</v>
      </c>
      <c r="F62" s="300" t="s">
        <v>2506</v>
      </c>
      <c r="G62" s="300" t="s">
        <v>2501</v>
      </c>
      <c r="H62" s="300" t="s">
        <v>2506</v>
      </c>
      <c r="I62" s="300" t="s">
        <v>2501</v>
      </c>
      <c r="J62" s="300" t="s">
        <v>2506</v>
      </c>
      <c r="K62" s="300" t="s">
        <v>2145</v>
      </c>
      <c r="L62" s="300" t="s">
        <v>2153</v>
      </c>
      <c r="M62" s="300" t="s">
        <v>2145</v>
      </c>
      <c r="N62" s="300" t="s">
        <v>2153</v>
      </c>
      <c r="O62" s="300" t="s">
        <v>2124</v>
      </c>
      <c r="P62" s="300" t="s">
        <v>2134</v>
      </c>
      <c r="R62" t="s">
        <v>2154</v>
      </c>
      <c r="S62" t="s">
        <v>2124</v>
      </c>
      <c r="T62" t="s">
        <v>2134</v>
      </c>
      <c r="V62" t="s">
        <v>2154</v>
      </c>
      <c r="X62" t="s">
        <v>2154</v>
      </c>
      <c r="Z62" t="s">
        <v>2154</v>
      </c>
      <c r="AA62" t="s">
        <v>2124</v>
      </c>
      <c r="AB62" t="s">
        <v>2134</v>
      </c>
      <c r="AC62" t="s">
        <v>2124</v>
      </c>
      <c r="AD62" t="s">
        <v>2134</v>
      </c>
      <c r="AF62" t="s">
        <v>2154</v>
      </c>
    </row>
    <row r="63" spans="1:32">
      <c r="A63" t="s">
        <v>2102</v>
      </c>
      <c r="B63" t="s">
        <v>2109</v>
      </c>
      <c r="D63" t="s">
        <v>2115</v>
      </c>
      <c r="E63" s="300" t="s">
        <v>2502</v>
      </c>
      <c r="F63" s="300" t="s">
        <v>2135</v>
      </c>
      <c r="G63" s="300" t="s">
        <v>2502</v>
      </c>
      <c r="H63" s="300" t="s">
        <v>2135</v>
      </c>
      <c r="I63" s="300" t="s">
        <v>2502</v>
      </c>
      <c r="J63" s="300" t="s">
        <v>2135</v>
      </c>
      <c r="K63" s="300" t="s">
        <v>2146</v>
      </c>
      <c r="L63" s="300" t="s">
        <v>2154</v>
      </c>
      <c r="M63" s="300" t="s">
        <v>2146</v>
      </c>
      <c r="N63" s="300" t="s">
        <v>2154</v>
      </c>
      <c r="O63" s="300" t="s">
        <v>2125</v>
      </c>
      <c r="P63" s="300" t="s">
        <v>2135</v>
      </c>
      <c r="S63" t="s">
        <v>2125</v>
      </c>
      <c r="T63" t="s">
        <v>2135</v>
      </c>
      <c r="AA63" t="s">
        <v>2125</v>
      </c>
      <c r="AB63" t="s">
        <v>2135</v>
      </c>
      <c r="AC63" t="s">
        <v>2125</v>
      </c>
      <c r="AD63" t="s">
        <v>2135</v>
      </c>
    </row>
    <row r="64" spans="1:32">
      <c r="A64" t="s">
        <v>2103</v>
      </c>
      <c r="B64" t="s">
        <v>2110</v>
      </c>
      <c r="E64" s="300" t="s">
        <v>2126</v>
      </c>
      <c r="F64" s="300" t="s">
        <v>2507</v>
      </c>
      <c r="G64" s="300" t="s">
        <v>2126</v>
      </c>
      <c r="H64" s="300" t="s">
        <v>2507</v>
      </c>
      <c r="I64" s="300" t="s">
        <v>2126</v>
      </c>
      <c r="J64" s="300" t="s">
        <v>2507</v>
      </c>
      <c r="K64" s="300" t="s">
        <v>2147</v>
      </c>
      <c r="L64" s="300" t="s">
        <v>2155</v>
      </c>
      <c r="M64" s="300" t="s">
        <v>2147</v>
      </c>
      <c r="N64" s="300" t="s">
        <v>2155</v>
      </c>
      <c r="O64" s="300" t="s">
        <v>2126</v>
      </c>
      <c r="P64" s="300" t="s">
        <v>2136</v>
      </c>
      <c r="S64" t="s">
        <v>2126</v>
      </c>
      <c r="T64" t="s">
        <v>2136</v>
      </c>
      <c r="AA64" t="s">
        <v>2126</v>
      </c>
      <c r="AB64" t="s">
        <v>2136</v>
      </c>
      <c r="AC64" t="s">
        <v>2126</v>
      </c>
      <c r="AD64" t="s">
        <v>2136</v>
      </c>
    </row>
    <row r="65" spans="5:29">
      <c r="E65" s="300" t="s">
        <v>2503</v>
      </c>
      <c r="G65" s="300" t="s">
        <v>2503</v>
      </c>
      <c r="I65" s="300" t="s">
        <v>2503</v>
      </c>
      <c r="K65" s="300" t="s">
        <v>2148</v>
      </c>
      <c r="M65" s="300" t="s">
        <v>2148</v>
      </c>
      <c r="O65" s="300" t="s">
        <v>2127</v>
      </c>
      <c r="S65" t="s">
        <v>2127</v>
      </c>
      <c r="AA65" t="s">
        <v>2127</v>
      </c>
      <c r="AC65" t="s">
        <v>2127</v>
      </c>
    </row>
    <row r="66" spans="5:29">
      <c r="E66" s="300" t="s">
        <v>2504</v>
      </c>
      <c r="G66" s="300" t="s">
        <v>2504</v>
      </c>
      <c r="I66" s="300" t="s">
        <v>2504</v>
      </c>
      <c r="K66" s="300" t="s">
        <v>2149</v>
      </c>
      <c r="M66" s="300" t="s">
        <v>2149</v>
      </c>
      <c r="O66" s="300" t="s">
        <v>2128</v>
      </c>
      <c r="S66" t="s">
        <v>2128</v>
      </c>
      <c r="AA66" t="s">
        <v>2128</v>
      </c>
      <c r="AC66" t="s">
        <v>2128</v>
      </c>
    </row>
  </sheetData>
  <sheetProtection password="993C"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65536"/>
  <sheetViews>
    <sheetView showGridLines="0" showRowColHeaders="0" zoomScaleNormal="100" workbookViewId="0">
      <selection activeCell="A35" sqref="A35:XFD1048576"/>
    </sheetView>
  </sheetViews>
  <sheetFormatPr defaultColWidth="0" defaultRowHeight="15" customHeight="1" zeroHeight="1"/>
  <cols>
    <col min="1" max="1" width="3.42578125" style="452" customWidth="1"/>
    <col min="2" max="2" width="5.5703125" style="452" customWidth="1"/>
    <col min="3" max="3" width="5.5703125" style="423" customWidth="1"/>
    <col min="4" max="4" width="13.7109375" style="423" customWidth="1"/>
    <col min="5" max="5" width="5.5703125" style="423" customWidth="1"/>
    <col min="6" max="6" width="8.85546875" style="423" customWidth="1"/>
    <col min="7" max="25" width="5.5703125" style="423" customWidth="1"/>
    <col min="26" max="26" width="5.42578125" style="423" customWidth="1"/>
    <col min="27" max="27" width="3.5703125" style="423" customWidth="1"/>
    <col min="28" max="28" width="4.5703125" style="423" customWidth="1"/>
    <col min="29" max="29" width="3.42578125" style="423" customWidth="1"/>
    <col min="30" max="30" width="5.42578125" style="453" customWidth="1"/>
    <col min="31" max="31" width="5.42578125" style="452" customWidth="1"/>
    <col min="32" max="32" width="16" style="423" customWidth="1"/>
    <col min="33" max="33" width="5.42578125" style="423" customWidth="1"/>
    <col min="34" max="34" width="4.140625" style="423" customWidth="1"/>
    <col min="35" max="36" width="5.42578125" style="423" customWidth="1"/>
    <col min="37" max="37" width="3.42578125" style="423" customWidth="1"/>
    <col min="38" max="38" width="5.42578125" style="423" customWidth="1"/>
    <col min="39" max="39" width="3.42578125" style="423" customWidth="1"/>
    <col min="40" max="40" width="5.42578125" style="423" customWidth="1"/>
    <col min="41" max="41" width="2.5703125" style="423" customWidth="1"/>
    <col min="42" max="42" width="3.5703125" style="423" customWidth="1"/>
    <col min="43" max="43" width="5.42578125" style="423" customWidth="1"/>
    <col min="44" max="44" width="6.140625" style="423" customWidth="1"/>
    <col min="45" max="45" width="14.42578125" style="423" customWidth="1"/>
    <col min="46" max="46" width="14.140625" style="423" hidden="1" customWidth="1"/>
    <col min="47" max="48" width="14.140625" style="450" hidden="1" customWidth="1"/>
    <col min="49" max="55" width="14.140625" style="423" hidden="1" customWidth="1"/>
    <col min="56" max="16384" width="9.140625" style="423" hidden="1"/>
  </cols>
  <sheetData>
    <row r="1" spans="1:65" ht="8.85" customHeight="1">
      <c r="A1" s="415"/>
      <c r="B1" s="414"/>
      <c r="C1" s="369"/>
      <c r="D1" s="369"/>
      <c r="E1" s="369"/>
      <c r="F1" s="369"/>
      <c r="G1" s="369"/>
      <c r="H1" s="369"/>
      <c r="I1" s="369"/>
      <c r="J1" s="369"/>
      <c r="K1" s="369"/>
      <c r="L1" s="369"/>
      <c r="M1" s="369"/>
      <c r="N1" s="369"/>
      <c r="O1" s="369"/>
      <c r="P1" s="369"/>
      <c r="Q1" s="369"/>
      <c r="R1" s="369"/>
      <c r="S1" s="369"/>
      <c r="T1" s="369"/>
      <c r="U1" s="369"/>
      <c r="V1" s="146"/>
      <c r="W1" s="146"/>
      <c r="X1" s="146"/>
      <c r="Y1" s="146"/>
      <c r="Z1" s="146"/>
      <c r="AA1" s="146"/>
      <c r="AB1" s="146"/>
      <c r="AC1" s="146"/>
      <c r="AD1" s="370"/>
      <c r="AE1" s="371"/>
      <c r="AF1" s="146"/>
      <c r="AG1" s="146"/>
      <c r="AH1" s="146"/>
      <c r="AI1" s="146"/>
      <c r="AJ1" s="146"/>
      <c r="AK1" s="146"/>
      <c r="AL1" s="146"/>
      <c r="AM1" s="146"/>
      <c r="AN1" s="146"/>
      <c r="AO1" s="146"/>
      <c r="AP1" s="146"/>
      <c r="AQ1" s="146"/>
      <c r="AR1" s="146"/>
      <c r="AS1" s="146"/>
    </row>
    <row r="2" spans="1:65" ht="11.85" customHeight="1">
      <c r="A2" s="625" t="str">
        <f>'Translate&amp;Prices&amp;Logo'!$B$169&amp;" "&amp;" "&amp;2</f>
        <v>Rámeček  2</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557"/>
      <c r="AL2" s="557"/>
      <c r="AM2" s="557"/>
      <c r="AN2" s="557"/>
      <c r="AO2" s="557"/>
      <c r="AP2" s="621" t="str">
        <f>'Translate&amp;Prices&amp;Logo'!$B$540</f>
        <v>Úvod</v>
      </c>
      <c r="AQ2" s="622"/>
      <c r="AR2" s="622"/>
      <c r="AS2" s="622"/>
      <c r="AU2" s="450" t="str">
        <f>IFERROR(IF(OR(VLOOKUP(H8,kombinace_2!$A:$E,5,0)=1,H8=kombinace_2!A27,H8=kombinace_2!A28),'Translate&amp;Prices&amp;Logo'!B635,""),"")</f>
        <v/>
      </c>
      <c r="AX2" s="451" t="e">
        <f>VLOOKUP(VLOOKUP(H8,'Translate&amp;Prices&amp;Logo'!B77:D86,3,0),'Translate&amp;Prices&amp;Logo'!B6:D63,2,0)</f>
        <v>#N/A</v>
      </c>
      <c r="AY2" s="452" t="e">
        <f>((AR14/1000)*2)*AT8</f>
        <v>#N/A</v>
      </c>
      <c r="AZ2" s="453" t="e">
        <f>((AI30/1000)*2)*AX2</f>
        <v>#N/A</v>
      </c>
      <c r="BA2" s="453" t="e">
        <f>AY2+AZ2</f>
        <v>#N/A</v>
      </c>
      <c r="BB2" s="451"/>
      <c r="BC2" s="451"/>
      <c r="BD2" s="451"/>
      <c r="BE2" s="451"/>
      <c r="BF2" s="451"/>
      <c r="BG2" s="451"/>
      <c r="BH2" s="452"/>
      <c r="BI2" s="452"/>
      <c r="BJ2" s="452"/>
      <c r="BK2" s="452"/>
      <c r="BL2" s="452"/>
      <c r="BM2" s="452"/>
    </row>
    <row r="3" spans="1:65" ht="11.85" customHeight="1">
      <c r="A3" s="625"/>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557"/>
      <c r="AL3" s="557"/>
      <c r="AM3" s="557"/>
      <c r="AN3" s="557"/>
      <c r="AO3" s="557"/>
      <c r="AP3" s="621"/>
      <c r="AQ3" s="622"/>
      <c r="AR3" s="622"/>
      <c r="AS3" s="622"/>
      <c r="AX3" s="451" t="e">
        <f>VLOOKUP(VLOOKUP(H8,'Translate&amp;Prices&amp;Logo'!B77:D86,3,0),'Translate&amp;Prices&amp;Logo'!B:D,3,0)</f>
        <v>#N/A</v>
      </c>
      <c r="AY3" s="452" t="e">
        <f>AT9+AX3</f>
        <v>#N/A</v>
      </c>
      <c r="AZ3" s="453"/>
      <c r="BA3" s="452"/>
      <c r="BB3" s="451"/>
      <c r="BC3" s="451"/>
      <c r="BD3" s="620">
        <f>(AI30/1000)*H11</f>
        <v>0</v>
      </c>
      <c r="BE3" s="620"/>
      <c r="BF3" s="620"/>
      <c r="BG3" s="620"/>
      <c r="BH3" s="620"/>
      <c r="BI3" s="620">
        <f>(AR14/1000)*M11</f>
        <v>0</v>
      </c>
      <c r="BJ3" s="620"/>
      <c r="BK3" s="620"/>
      <c r="BL3" s="620"/>
      <c r="BM3" s="620"/>
    </row>
    <row r="4" spans="1:65" s="456" customFormat="1" ht="6.6" customHeight="1">
      <c r="A4" s="410"/>
      <c r="B4" s="410"/>
      <c r="C4" s="411"/>
      <c r="D4" s="411"/>
      <c r="E4" s="411"/>
      <c r="F4" s="411"/>
      <c r="G4" s="411"/>
      <c r="H4" s="411"/>
      <c r="I4" s="411"/>
      <c r="J4" s="146"/>
      <c r="K4" s="146"/>
      <c r="L4" s="146"/>
      <c r="M4" s="146"/>
      <c r="N4" s="146"/>
      <c r="O4" s="146"/>
      <c r="P4" s="412"/>
      <c r="Q4" s="412"/>
      <c r="R4" s="412"/>
      <c r="S4" s="412"/>
      <c r="T4" s="412"/>
      <c r="U4" s="412"/>
      <c r="V4" s="412"/>
      <c r="W4" s="412"/>
      <c r="X4" s="412"/>
      <c r="Y4" s="412"/>
      <c r="Z4" s="412"/>
      <c r="AA4" s="412"/>
      <c r="AB4" s="634" t="str">
        <f>IFERROR(IF(kombinace_2!FC2=TRUE,'Translate&amp;Prices&amp;Logo'!B654,IF(VLOOKUP(H8,kombinace_2!$A:$E,5,0)=3,'Translate&amp;Prices&amp;Logo'!B642,"")), "")</f>
        <v/>
      </c>
      <c r="AC4" s="634"/>
      <c r="AD4" s="634"/>
      <c r="AE4" s="634"/>
      <c r="AF4" s="634"/>
      <c r="AG4" s="634"/>
      <c r="AH4" s="634"/>
      <c r="AI4" s="634"/>
      <c r="AJ4" s="634"/>
      <c r="AK4" s="634"/>
      <c r="AL4" s="634"/>
      <c r="AM4" s="634"/>
      <c r="AN4" s="634"/>
      <c r="AO4" s="146"/>
      <c r="AP4" s="146"/>
      <c r="AQ4" s="146"/>
      <c r="AR4" s="146"/>
      <c r="AS4" s="415"/>
      <c r="AT4" s="454"/>
      <c r="AU4" s="455"/>
      <c r="AV4" s="455"/>
    </row>
    <row r="5" spans="1:65" ht="34.5" customHeight="1" thickBot="1">
      <c r="A5" s="146"/>
      <c r="B5" s="623" t="str">
        <f>'Translate&amp;Prices&amp;Logo'!$B$169&amp;" "&amp;" "&amp;1</f>
        <v>Rámeček  1</v>
      </c>
      <c r="C5" s="623"/>
      <c r="D5" s="623"/>
      <c r="E5" s="416"/>
      <c r="F5" s="623" t="str">
        <f>'Translate&amp;Prices&amp;Logo'!$B$169&amp;" "&amp;" "&amp;2</f>
        <v>Rámeček  2</v>
      </c>
      <c r="G5" s="623"/>
      <c r="H5" s="623"/>
      <c r="I5" s="146"/>
      <c r="J5" s="623" t="str">
        <f>'Translate&amp;Prices&amp;Logo'!$B$169&amp;" "&amp;" "&amp;3</f>
        <v>Rámeček  3</v>
      </c>
      <c r="K5" s="623"/>
      <c r="L5" s="623"/>
      <c r="M5" s="146"/>
      <c r="N5" s="623" t="str">
        <f>'Translate&amp;Prices&amp;Logo'!$B$169&amp;" "&amp;" "&amp;4</f>
        <v>Rámeček  4</v>
      </c>
      <c r="O5" s="623"/>
      <c r="P5" s="623"/>
      <c r="Q5" s="146"/>
      <c r="R5" s="623" t="str">
        <f>'Translate&amp;Prices&amp;Logo'!$B$169&amp;" "&amp;" "&amp;5</f>
        <v>Rámeček  5</v>
      </c>
      <c r="S5" s="623"/>
      <c r="T5" s="623"/>
      <c r="U5" s="146"/>
      <c r="V5" s="623" t="str">
        <f>'Translate&amp;Prices&amp;Logo'!$B$169&amp;" "&amp;" "&amp;6</f>
        <v>Rámeček  6</v>
      </c>
      <c r="W5" s="623"/>
      <c r="X5" s="623"/>
      <c r="Y5" s="146"/>
      <c r="Z5" s="146"/>
      <c r="AA5" s="146"/>
      <c r="AB5" s="635"/>
      <c r="AC5" s="635"/>
      <c r="AD5" s="635"/>
      <c r="AE5" s="635"/>
      <c r="AF5" s="635"/>
      <c r="AG5" s="635"/>
      <c r="AH5" s="635"/>
      <c r="AI5" s="635"/>
      <c r="AJ5" s="635"/>
      <c r="AK5" s="635"/>
      <c r="AL5" s="635"/>
      <c r="AM5" s="635"/>
      <c r="AN5" s="635"/>
      <c r="AO5" s="146"/>
      <c r="AP5" s="146"/>
      <c r="AQ5" s="146"/>
      <c r="AR5" s="146"/>
      <c r="AS5" s="414"/>
      <c r="AT5" s="451"/>
    </row>
    <row r="6" spans="1:65" ht="17.100000000000001" customHeight="1" thickTop="1" thickBot="1">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390"/>
      <c r="AA6" s="372"/>
      <c r="AB6" s="373"/>
      <c r="AC6" s="374"/>
      <c r="AD6" s="374"/>
      <c r="AE6" s="373"/>
      <c r="AF6" s="373"/>
      <c r="AG6" s="373"/>
      <c r="AH6" s="373"/>
      <c r="AI6" s="375"/>
      <c r="AJ6" s="376"/>
      <c r="AK6" s="373"/>
      <c r="AL6" s="373"/>
      <c r="AM6" s="374"/>
      <c r="AN6" s="374"/>
      <c r="AO6" s="373"/>
      <c r="AP6" s="377"/>
      <c r="AQ6" s="389"/>
      <c r="AR6" s="146"/>
      <c r="AS6" s="146"/>
      <c r="AT6" s="457"/>
    </row>
    <row r="7" spans="1:65" ht="14.85" customHeight="1">
      <c r="A7" s="146"/>
      <c r="B7" s="643" t="str">
        <f>'Translate&amp;Prices&amp;Logo'!$B$542</f>
        <v>Kombinace 2 profilů</v>
      </c>
      <c r="C7" s="644"/>
      <c r="D7" s="644"/>
      <c r="E7" s="644"/>
      <c r="F7" s="644"/>
      <c r="G7" s="659" t="str">
        <f>IF(kombinace_2!FC2=TRUE,AB4,AU2)</f>
        <v/>
      </c>
      <c r="H7" s="659"/>
      <c r="I7" s="659"/>
      <c r="J7" s="659"/>
      <c r="K7" s="659"/>
      <c r="L7" s="659"/>
      <c r="M7" s="659"/>
      <c r="N7" s="659"/>
      <c r="O7" s="659"/>
      <c r="P7" s="659"/>
      <c r="Q7" s="660"/>
      <c r="R7" s="568"/>
      <c r="S7" s="676" t="str">
        <f>'Translate&amp;Prices&amp;Logo'!$B$572</f>
        <v>Upozornění</v>
      </c>
      <c r="T7" s="676"/>
      <c r="U7" s="676"/>
      <c r="V7" s="146"/>
      <c r="W7" s="146"/>
      <c r="X7" s="146"/>
      <c r="Y7" s="146"/>
      <c r="Z7" s="390"/>
      <c r="AA7" s="378"/>
      <c r="AB7" s="379"/>
      <c r="AC7" s="380"/>
      <c r="AD7" s="380"/>
      <c r="AE7" s="380"/>
      <c r="AF7" s="380"/>
      <c r="AG7" s="381"/>
      <c r="AH7" s="381"/>
      <c r="AI7" s="382"/>
      <c r="AJ7" s="666">
        <v>0</v>
      </c>
      <c r="AK7" s="380"/>
      <c r="AL7" s="380"/>
      <c r="AM7" s="380"/>
      <c r="AN7" s="380"/>
      <c r="AO7" s="383"/>
      <c r="AP7" s="384"/>
      <c r="AQ7" s="638">
        <f>IFERROR(IF($AU$17&gt;2,'Translate&amp;Prices&amp;Logo'!$B$577,0),0)</f>
        <v>0</v>
      </c>
      <c r="AR7" s="146"/>
      <c r="AS7" s="146"/>
      <c r="AT7" s="451"/>
      <c r="AU7" s="458" t="e">
        <f>VLOOKUP(H8,kombinace_2!$A:$B,2,0)</f>
        <v>#N/A</v>
      </c>
      <c r="AV7" s="452" t="e">
        <f>IF(AU7=2,"Široký",IF(AU7=1,"Úzký",IF(AU7=3,"kombo")))</f>
        <v>#N/A</v>
      </c>
    </row>
    <row r="8" spans="1:65" ht="45.6" customHeight="1">
      <c r="A8" s="371"/>
      <c r="B8" s="560" t="str">
        <f>'Translate&amp;Prices&amp;Logo'!$B$653</f>
        <v>Výplň rámečku síťka</v>
      </c>
      <c r="C8" s="561"/>
      <c r="D8" s="561"/>
      <c r="E8" s="562" t="str">
        <f>'Translate&amp;Prices&amp;Logo'!$B$172</f>
        <v>Typ profilu</v>
      </c>
      <c r="F8" s="562"/>
      <c r="G8" s="567"/>
      <c r="H8" s="647"/>
      <c r="I8" s="647"/>
      <c r="J8" s="647"/>
      <c r="K8" s="647"/>
      <c r="L8" s="647"/>
      <c r="M8" s="647"/>
      <c r="N8" s="647"/>
      <c r="O8" s="647"/>
      <c r="P8" s="647"/>
      <c r="Q8" s="648"/>
      <c r="R8" s="569"/>
      <c r="S8" s="661">
        <f>IF(AU10&gt;0,'Translate&amp;Prices&amp;Logo'!B303,IF(H8=kombinace_2!A58,'Translate&amp;Prices&amp;Logo'!B578,IF(H8=kombinace_2!A60,'Translate&amp;Prices&amp;Logo'!B579,IF(H8=kombinace_2!A62,'Translate&amp;Prices&amp;Logo'!B580,0))))</f>
        <v>0</v>
      </c>
      <c r="T8" s="662"/>
      <c r="U8" s="662"/>
      <c r="V8" s="662"/>
      <c r="W8" s="662"/>
      <c r="X8" s="662"/>
      <c r="Y8" s="663"/>
      <c r="Z8" s="390"/>
      <c r="AA8" s="386"/>
      <c r="AB8" s="146"/>
      <c r="AC8" s="678" t="str">
        <f>'Translate&amp;Prices&amp;Logo'!$B$242</f>
        <v>Vzdálenost od okraje</v>
      </c>
      <c r="AD8" s="678"/>
      <c r="AE8" s="678"/>
      <c r="AF8" s="678"/>
      <c r="AG8" s="678"/>
      <c r="AH8" s="146"/>
      <c r="AI8" s="370"/>
      <c r="AJ8" s="666"/>
      <c r="AK8" s="146"/>
      <c r="AL8" s="146"/>
      <c r="AM8" s="146"/>
      <c r="AN8" s="146"/>
      <c r="AO8" s="146"/>
      <c r="AP8" s="386"/>
      <c r="AQ8" s="638"/>
      <c r="AR8" s="146"/>
      <c r="AS8" s="146"/>
      <c r="AT8" s="451" t="e">
        <f>VLOOKUP(VLOOKUP(H8,'Translate&amp;Prices&amp;Logo'!B77:C86,2,0),'Translate&amp;Prices&amp;Logo'!B6:C590,2,0)</f>
        <v>#N/A</v>
      </c>
      <c r="AU8" s="452"/>
      <c r="AV8" s="452"/>
    </row>
    <row r="9" spans="1:65" ht="15.6" customHeight="1">
      <c r="A9" s="371"/>
      <c r="B9" s="632">
        <f>IFERROR(IF(AND(VLOOKUP(H8,kombinace_2!$A:$D,4,0)=1,kombinace_2!FC2=FALSE),'Translate&amp;Prices&amp;Logo'!$B$543,0),0)</f>
        <v>0</v>
      </c>
      <c r="C9" s="633"/>
      <c r="D9" s="633"/>
      <c r="E9" s="633"/>
      <c r="F9" s="633"/>
      <c r="G9" s="408"/>
      <c r="H9" s="628"/>
      <c r="I9" s="628"/>
      <c r="J9" s="628"/>
      <c r="K9" s="628"/>
      <c r="L9" s="628"/>
      <c r="M9" s="628"/>
      <c r="N9" s="628"/>
      <c r="O9" s="628"/>
      <c r="P9" s="628"/>
      <c r="Q9" s="629"/>
      <c r="R9" s="146"/>
      <c r="S9" s="639"/>
      <c r="T9" s="640"/>
      <c r="U9" s="640"/>
      <c r="V9" s="640"/>
      <c r="W9" s="640"/>
      <c r="X9" s="640"/>
      <c r="Y9" s="641"/>
      <c r="Z9" s="390"/>
      <c r="AA9" s="387"/>
      <c r="AB9" s="146"/>
      <c r="AC9" s="677">
        <v>0</v>
      </c>
      <c r="AD9" s="677"/>
      <c r="AE9" s="385"/>
      <c r="AF9" s="645" t="str">
        <f>('Translate&amp;Prices&amp;Logo'!$B$548)&amp;" "&amp;H26&amp;" "&amp;"mm"</f>
        <v>Rozteč  mm</v>
      </c>
      <c r="AG9" s="645"/>
      <c r="AH9" s="645"/>
      <c r="AI9" s="645"/>
      <c r="AJ9" s="645"/>
      <c r="AK9" s="645"/>
      <c r="AL9" s="146"/>
      <c r="AM9" s="146"/>
      <c r="AN9" s="146"/>
      <c r="AO9" s="146"/>
      <c r="AP9" s="387"/>
      <c r="AQ9" s="638"/>
      <c r="AR9" s="146"/>
      <c r="AS9" s="146"/>
      <c r="AT9" s="451" t="e">
        <f>VLOOKUP(VLOOKUP(H8,'Translate&amp;Prices&amp;Logo'!B77:C671,2,0),'Translate&amp;Prices&amp;Logo'!B3:D587,3,0)</f>
        <v>#N/A</v>
      </c>
      <c r="AU9" s="458" t="e">
        <f>VLOOKUP(H12,kombinace_2!$DP:$DQ,2,0)</f>
        <v>#N/A</v>
      </c>
      <c r="AV9" s="452"/>
    </row>
    <row r="10" spans="1:65" ht="18" customHeight="1">
      <c r="A10" s="371"/>
      <c r="B10" s="417"/>
      <c r="C10" s="409"/>
      <c r="D10" s="409"/>
      <c r="E10" s="409"/>
      <c r="F10" s="409"/>
      <c r="G10" s="409"/>
      <c r="H10" s="626"/>
      <c r="I10" s="626"/>
      <c r="J10" s="626"/>
      <c r="K10" s="626"/>
      <c r="L10" s="631"/>
      <c r="M10" s="626"/>
      <c r="N10" s="626"/>
      <c r="O10" s="626"/>
      <c r="P10" s="626"/>
      <c r="Q10" s="627"/>
      <c r="R10" s="371"/>
      <c r="S10" s="639">
        <f>IF(AU10&gt;0,'Translate&amp;Prices&amp;Logo'!B571,0)</f>
        <v>0</v>
      </c>
      <c r="T10" s="640"/>
      <c r="U10" s="640"/>
      <c r="V10" s="640"/>
      <c r="W10" s="640"/>
      <c r="X10" s="640"/>
      <c r="Y10" s="641"/>
      <c r="Z10" s="390"/>
      <c r="AA10" s="387"/>
      <c r="AB10" s="146"/>
      <c r="AC10" s="146"/>
      <c r="AD10" s="637">
        <v>0</v>
      </c>
      <c r="AE10" s="696" t="str">
        <f>'Translate&amp;Prices&amp;Logo'!$B$637</f>
        <v>Vzdálenost od horního okraje</v>
      </c>
      <c r="AF10" s="146"/>
      <c r="AG10" s="146"/>
      <c r="AH10" s="146"/>
      <c r="AI10" s="370"/>
      <c r="AJ10" s="371"/>
      <c r="AK10" s="146"/>
      <c r="AL10" s="146"/>
      <c r="AM10" s="146"/>
      <c r="AN10" s="146"/>
      <c r="AO10" s="146"/>
      <c r="AP10" s="387"/>
      <c r="AQ10" s="638"/>
      <c r="AR10" s="146"/>
      <c r="AS10" s="146"/>
      <c r="AT10" s="451" t="s">
        <v>2296</v>
      </c>
      <c r="AU10" s="452">
        <f>IFERROR(VLOOKUP(H9,kombinace_2!$BY$13:$BZ$15,2,0),0)</f>
        <v>0</v>
      </c>
      <c r="AV10" s="452"/>
    </row>
    <row r="11" spans="1:65" ht="18" customHeight="1">
      <c r="A11" s="371"/>
      <c r="B11" s="655" t="str">
        <f>('Translate&amp;Prices&amp;Logo'!$B$543)&amp;" "&amp;"("&amp;'Translate&amp;Prices&amp;Logo'!$B$174&amp;")"</f>
        <v>Dělící lišty (Počet kusů)</v>
      </c>
      <c r="C11" s="656"/>
      <c r="D11" s="656"/>
      <c r="E11" s="656"/>
      <c r="F11" s="656"/>
      <c r="G11" s="408"/>
      <c r="H11" s="590"/>
      <c r="I11" s="590"/>
      <c r="J11" s="590"/>
      <c r="K11" s="590"/>
      <c r="L11" s="630"/>
      <c r="M11" s="590"/>
      <c r="N11" s="590"/>
      <c r="O11" s="590"/>
      <c r="P11" s="590"/>
      <c r="Q11" s="642"/>
      <c r="R11" s="371"/>
      <c r="S11" s="639"/>
      <c r="T11" s="640"/>
      <c r="U11" s="640"/>
      <c r="V11" s="640"/>
      <c r="W11" s="640"/>
      <c r="X11" s="640"/>
      <c r="Y11" s="641"/>
      <c r="Z11" s="390"/>
      <c r="AA11" s="388"/>
      <c r="AB11" s="389"/>
      <c r="AC11" s="146"/>
      <c r="AD11" s="637"/>
      <c r="AE11" s="696"/>
      <c r="AF11" s="146"/>
      <c r="AG11" s="146"/>
      <c r="AH11" s="146"/>
      <c r="AI11" s="370"/>
      <c r="AJ11" s="371"/>
      <c r="AK11" s="146"/>
      <c r="AL11" s="146"/>
      <c r="AM11" s="146"/>
      <c r="AN11" s="146"/>
      <c r="AO11" s="390"/>
      <c r="AP11" s="384"/>
      <c r="AQ11" s="638"/>
      <c r="AR11" s="146"/>
      <c r="AS11" s="146"/>
      <c r="AT11" s="458">
        <f>IFERROR(IF(kombinace_2!$H$1=TRUE,BA2+AY3,0),0)</f>
        <v>0</v>
      </c>
      <c r="AU11" s="458"/>
      <c r="AV11" s="452"/>
    </row>
    <row r="12" spans="1:65" ht="18" customHeight="1">
      <c r="A12" s="371"/>
      <c r="B12" s="632" t="str">
        <f>'Translate&amp;Prices&amp;Logo'!$B$258</f>
        <v>Typ kování</v>
      </c>
      <c r="C12" s="633"/>
      <c r="D12" s="633"/>
      <c r="E12" s="633"/>
      <c r="F12" s="633"/>
      <c r="G12" s="408"/>
      <c r="H12" s="628"/>
      <c r="I12" s="628"/>
      <c r="J12" s="628"/>
      <c r="K12" s="628"/>
      <c r="L12" s="628"/>
      <c r="M12" s="628"/>
      <c r="N12" s="628"/>
      <c r="O12" s="628"/>
      <c r="P12" s="628"/>
      <c r="Q12" s="629"/>
      <c r="R12" s="371"/>
      <c r="S12" s="639"/>
      <c r="T12" s="640"/>
      <c r="U12" s="640"/>
      <c r="V12" s="640"/>
      <c r="W12" s="640"/>
      <c r="X12" s="640"/>
      <c r="Y12" s="641"/>
      <c r="Z12" s="390"/>
      <c r="AA12" s="388"/>
      <c r="AB12" s="389"/>
      <c r="AC12" s="146"/>
      <c r="AD12" s="637"/>
      <c r="AE12" s="696"/>
      <c r="AF12" s="146"/>
      <c r="AG12" s="146"/>
      <c r="AH12" s="146"/>
      <c r="AI12" s="370"/>
      <c r="AJ12" s="371"/>
      <c r="AK12" s="146"/>
      <c r="AL12" s="146"/>
      <c r="AM12" s="146"/>
      <c r="AN12" s="146"/>
      <c r="AO12" s="390"/>
      <c r="AP12" s="384"/>
      <c r="AQ12" s="638"/>
      <c r="AR12" s="146"/>
      <c r="AS12" s="146"/>
      <c r="AT12" s="452"/>
      <c r="AU12" s="452"/>
      <c r="AV12" s="452"/>
    </row>
    <row r="13" spans="1:65" ht="18" customHeight="1" thickBot="1">
      <c r="A13" s="371"/>
      <c r="B13" s="632" t="str">
        <f>'Translate&amp;Prices&amp;Logo'!$B$544</f>
        <v>Značka kování</v>
      </c>
      <c r="C13" s="633"/>
      <c r="D13" s="633"/>
      <c r="E13" s="633"/>
      <c r="F13" s="633"/>
      <c r="G13" s="408"/>
      <c r="H13" s="628"/>
      <c r="I13" s="628"/>
      <c r="J13" s="628"/>
      <c r="K13" s="628"/>
      <c r="L13" s="628"/>
      <c r="M13" s="628"/>
      <c r="N13" s="628"/>
      <c r="O13" s="628"/>
      <c r="P13" s="628"/>
      <c r="Q13" s="629"/>
      <c r="R13" s="371"/>
      <c r="S13" s="639">
        <f>IF(H19&gt;=2,'Translate&amp;Prices&amp;Logo'!B575,0)</f>
        <v>0</v>
      </c>
      <c r="T13" s="640"/>
      <c r="U13" s="640"/>
      <c r="V13" s="640"/>
      <c r="W13" s="640"/>
      <c r="X13" s="640"/>
      <c r="Y13" s="641"/>
      <c r="Z13" s="390"/>
      <c r="AA13" s="388"/>
      <c r="AB13" s="389"/>
      <c r="AC13" s="146"/>
      <c r="AD13" s="385"/>
      <c r="AE13" s="696"/>
      <c r="AF13" s="146"/>
      <c r="AG13" s="146"/>
      <c r="AH13" s="146"/>
      <c r="AI13" s="370"/>
      <c r="AJ13" s="371"/>
      <c r="AK13" s="146"/>
      <c r="AL13" s="146"/>
      <c r="AM13" s="146"/>
      <c r="AN13" s="146"/>
      <c r="AO13" s="390"/>
      <c r="AP13" s="384"/>
      <c r="AQ13" s="638"/>
      <c r="AR13" s="146"/>
      <c r="AS13" s="146"/>
      <c r="AT13" s="458">
        <f>IFERROR((((AI30/1000)+(AR14/1000))*2)*(VLOOKUP(H8,'Translate&amp;Prices&amp;Logo'!B6:C84,2,0))+(VLOOKUP(H8,'Translate&amp;Prices&amp;Logo'!B6:D84,3,0)),0)</f>
        <v>195.3159</v>
      </c>
      <c r="AU13" s="458"/>
      <c r="AV13" s="452"/>
    </row>
    <row r="14" spans="1:65" ht="18" customHeight="1">
      <c r="A14" s="371"/>
      <c r="B14" s="632">
        <f>IFERROR(IF(H12='Translate&amp;Prices&amp;Logo'!B551,'Translate&amp;Prices&amp;Logo'!$B$546,0),0)</f>
        <v>0</v>
      </c>
      <c r="C14" s="633"/>
      <c r="D14" s="633"/>
      <c r="E14" s="633"/>
      <c r="F14" s="633"/>
      <c r="G14" s="408"/>
      <c r="H14" s="628"/>
      <c r="I14" s="628"/>
      <c r="J14" s="628"/>
      <c r="K14" s="628"/>
      <c r="L14" s="628"/>
      <c r="M14" s="628"/>
      <c r="N14" s="628"/>
      <c r="O14" s="628"/>
      <c r="P14" s="628"/>
      <c r="Q14" s="629"/>
      <c r="R14" s="371"/>
      <c r="S14" s="639"/>
      <c r="T14" s="640"/>
      <c r="U14" s="640"/>
      <c r="V14" s="640"/>
      <c r="W14" s="640"/>
      <c r="X14" s="640"/>
      <c r="Y14" s="641"/>
      <c r="Z14" s="390"/>
      <c r="AA14" s="388"/>
      <c r="AB14" s="389"/>
      <c r="AC14" s="146"/>
      <c r="AD14" s="646" t="str">
        <f>('Translate&amp;Prices&amp;Logo'!$B$548)&amp;" "&amp;H26&amp;" "&amp;"mm"</f>
        <v>Rozteč  mm</v>
      </c>
      <c r="AE14" s="696"/>
      <c r="AF14" s="146"/>
      <c r="AG14" s="146"/>
      <c r="AH14" s="146"/>
      <c r="AI14" s="370"/>
      <c r="AJ14" s="371"/>
      <c r="AK14" s="146"/>
      <c r="AL14" s="146"/>
      <c r="AM14" s="667" t="str">
        <f>('Translate&amp;Prices&amp;Logo'!$B$548)&amp;" "&amp;H26&amp;" "&amp;"mm"</f>
        <v>Rozteč  mm</v>
      </c>
      <c r="AN14" s="146"/>
      <c r="AO14" s="391"/>
      <c r="AP14" s="384"/>
      <c r="AQ14" s="638"/>
      <c r="AR14" s="624"/>
      <c r="AS14" s="146"/>
      <c r="AT14" s="458"/>
      <c r="AU14" s="452"/>
      <c r="AV14" s="452"/>
      <c r="AW14" s="477" t="s">
        <v>3463</v>
      </c>
      <c r="AX14" s="423" t="e">
        <f t="array" aca="1" ref="AX14" ca="1">IF(AU9=2,INDIRECT(CONCATENATE("_",AV7,"_",H13,"_",AA29)),IF(AU9=3,INDIRECT(VLOOKUP(H13,kombinace_2!$AA:$AB,2,0))))</f>
        <v>#N/A</v>
      </c>
    </row>
    <row r="15" spans="1:65" ht="18" customHeight="1" thickBot="1">
      <c r="A15" s="371"/>
      <c r="B15" s="632" t="str">
        <f>'Translate&amp;Prices&amp;Logo'!$B$545</f>
        <v>Varianta kování</v>
      </c>
      <c r="C15" s="633"/>
      <c r="D15" s="633"/>
      <c r="E15" s="633"/>
      <c r="F15" s="633"/>
      <c r="G15" s="408"/>
      <c r="H15" s="628"/>
      <c r="I15" s="628"/>
      <c r="J15" s="628"/>
      <c r="K15" s="628"/>
      <c r="L15" s="628"/>
      <c r="M15" s="628"/>
      <c r="N15" s="628"/>
      <c r="O15" s="628"/>
      <c r="P15" s="628"/>
      <c r="Q15" s="629"/>
      <c r="R15" s="371"/>
      <c r="S15" s="639"/>
      <c r="T15" s="640"/>
      <c r="U15" s="640"/>
      <c r="V15" s="640"/>
      <c r="W15" s="640"/>
      <c r="X15" s="640"/>
      <c r="Y15" s="641"/>
      <c r="Z15" s="390"/>
      <c r="AA15" s="388"/>
      <c r="AB15" s="392"/>
      <c r="AC15" s="146"/>
      <c r="AD15" s="646"/>
      <c r="AE15" s="696"/>
      <c r="AF15" s="146"/>
      <c r="AG15" s="146"/>
      <c r="AH15" s="146"/>
      <c r="AI15" s="370"/>
      <c r="AJ15" s="371"/>
      <c r="AK15" s="146"/>
      <c r="AL15" s="146"/>
      <c r="AM15" s="667"/>
      <c r="AN15" s="146"/>
      <c r="AO15" s="391"/>
      <c r="AP15" s="384"/>
      <c r="AQ15" s="638"/>
      <c r="AR15" s="624"/>
      <c r="AS15" s="146"/>
      <c r="AT15" s="476">
        <f>IF(H9&gt;"",('Translate&amp;Prices&amp;Logo'!C97*(AW15*AW16))+'Translate&amp;Prices&amp;Logo'!C100+(AW15*'Translate&amp;Prices&amp;Logo'!C101),0)</f>
        <v>0</v>
      </c>
      <c r="AU15" s="476">
        <f>H11+1</f>
        <v>1</v>
      </c>
      <c r="AV15" s="476">
        <f>M11+1</f>
        <v>1</v>
      </c>
      <c r="AW15" s="478">
        <f>AU15*AV15</f>
        <v>1</v>
      </c>
    </row>
    <row r="16" spans="1:65" ht="18" customHeight="1">
      <c r="A16" s="371"/>
      <c r="B16" s="653" t="str">
        <f>IF(H15=kombinace_2!AB40,'Translate&amp;Prices&amp;Logo'!$B$224,IF(H15=kombinace_2!AB41,'Translate&amp;Prices&amp;Logo'!$B$224,IF(H12=kombinace_2!BQ2,'Translate&amp;Prices&amp;Logo'!$B$222,'Translate&amp;Prices&amp;Logo'!$B$218)))</f>
        <v>Výběr pozice rámečku</v>
      </c>
      <c r="C16" s="654"/>
      <c r="D16" s="654"/>
      <c r="E16" s="654"/>
      <c r="F16" s="652"/>
      <c r="G16" s="652"/>
      <c r="H16" s="652"/>
      <c r="I16" s="652"/>
      <c r="J16" s="685" t="str">
        <f>IF(OR(H15=kombinace_2!AB40,H15=kombinace_2!AB7,H15=kombinace_2!AB15,H15=kombinace_2!AB21,H15=kombinace_2!AB22,H15=kombinace_2!AB23),'Translate&amp;Prices&amp;Logo'!$B$226,IF(H15=kombinace_2!AB41,'Translate&amp;Prices&amp;Logo'!$B$226,'Translate&amp;Prices&amp;Logo'!$B$232))</f>
        <v>Provedení druhého dvířka</v>
      </c>
      <c r="K16" s="685"/>
      <c r="L16" s="685"/>
      <c r="M16" s="685"/>
      <c r="N16" s="683"/>
      <c r="O16" s="683"/>
      <c r="P16" s="683"/>
      <c r="Q16" s="684"/>
      <c r="R16" s="371"/>
      <c r="S16" s="639"/>
      <c r="T16" s="640"/>
      <c r="U16" s="640"/>
      <c r="V16" s="640"/>
      <c r="W16" s="640"/>
      <c r="X16" s="640"/>
      <c r="Y16" s="641"/>
      <c r="Z16" s="390"/>
      <c r="AA16" s="388"/>
      <c r="AB16" s="392"/>
      <c r="AC16" s="146"/>
      <c r="AD16" s="646"/>
      <c r="AE16" s="696"/>
      <c r="AF16" s="146"/>
      <c r="AG16" s="146"/>
      <c r="AH16" s="146"/>
      <c r="AI16" s="370"/>
      <c r="AJ16" s="371"/>
      <c r="AK16" s="146"/>
      <c r="AL16" s="146"/>
      <c r="AM16" s="667"/>
      <c r="AN16" s="146"/>
      <c r="AO16" s="391"/>
      <c r="AP16" s="384"/>
      <c r="AQ16" s="638"/>
      <c r="AR16" s="624"/>
      <c r="AS16" s="146"/>
      <c r="AT16" s="458"/>
      <c r="AU16" s="452">
        <f>(AI30/1000)/AU15</f>
        <v>0</v>
      </c>
      <c r="AV16" s="452">
        <f>(AR14/1000)/AV15</f>
        <v>0</v>
      </c>
      <c r="AW16" s="479">
        <f>(2*AU16)+(2*AV16)</f>
        <v>0</v>
      </c>
    </row>
    <row r="17" spans="1:52" ht="18" customHeight="1">
      <c r="A17" s="371"/>
      <c r="B17" s="632">
        <f>IF(H12='Translate&amp;Prices&amp;Logo'!B551,'Translate&amp;Prices&amp;Logo'!B238,IF(H15=kombinace_2!AB8,'Translate&amp;Prices&amp;Logo'!B284,0))</f>
        <v>0</v>
      </c>
      <c r="C17" s="633"/>
      <c r="D17" s="633"/>
      <c r="E17" s="633"/>
      <c r="F17" s="633"/>
      <c r="G17" s="408"/>
      <c r="H17" s="628"/>
      <c r="I17" s="628"/>
      <c r="J17" s="628"/>
      <c r="K17" s="628"/>
      <c r="L17" s="628"/>
      <c r="M17" s="628"/>
      <c r="N17" s="628"/>
      <c r="O17" s="628"/>
      <c r="P17" s="628"/>
      <c r="Q17" s="629"/>
      <c r="R17" s="371"/>
      <c r="S17" s="639"/>
      <c r="T17" s="640"/>
      <c r="U17" s="640"/>
      <c r="V17" s="640"/>
      <c r="W17" s="640"/>
      <c r="X17" s="640"/>
      <c r="Y17" s="641"/>
      <c r="Z17" s="390"/>
      <c r="AA17" s="388"/>
      <c r="AB17" s="392"/>
      <c r="AC17" s="146"/>
      <c r="AD17" s="646"/>
      <c r="AE17" s="146"/>
      <c r="AF17" s="146"/>
      <c r="AG17" s="146"/>
      <c r="AH17" s="146"/>
      <c r="AI17" s="370"/>
      <c r="AJ17" s="371"/>
      <c r="AK17" s="146"/>
      <c r="AL17" s="146"/>
      <c r="AM17" s="667"/>
      <c r="AN17" s="146"/>
      <c r="AO17" s="391"/>
      <c r="AP17" s="384"/>
      <c r="AQ17" s="638"/>
      <c r="AR17" s="624"/>
      <c r="AS17" s="146"/>
      <c r="AT17" s="458">
        <f>IF(AU10=1,BD3*'Translate&amp;Prices&amp;Logo'!C55,IF(AU10=2,BI3*'Translate&amp;Prices&amp;Logo'!C55,IF(AU10=3,(BD3+BI3)*'Translate&amp;Prices&amp;Logo'!C55,IF(AU10=0,0))))</f>
        <v>0</v>
      </c>
      <c r="AU17" s="452" t="e">
        <f>VLOOKUP(H17,kombinace_2!$BY:$BZ,2,0)</f>
        <v>#N/A</v>
      </c>
      <c r="AV17" s="452"/>
    </row>
    <row r="18" spans="1:52" ht="18" customHeight="1">
      <c r="A18" s="371"/>
      <c r="B18" s="632">
        <f>IFERROR(IF(VLOOKUP(H15,kombinace_2!CD:CE,2,0)=1,'Translate&amp;Prices&amp;Logo'!$B$547,0),0)</f>
        <v>0</v>
      </c>
      <c r="C18" s="633"/>
      <c r="D18" s="633"/>
      <c r="E18" s="633"/>
      <c r="F18" s="633"/>
      <c r="G18" s="408"/>
      <c r="H18" s="628"/>
      <c r="I18" s="628"/>
      <c r="J18" s="628"/>
      <c r="K18" s="628"/>
      <c r="L18" s="628"/>
      <c r="M18" s="628"/>
      <c r="N18" s="628"/>
      <c r="O18" s="628"/>
      <c r="P18" s="628"/>
      <c r="Q18" s="629"/>
      <c r="R18" s="371"/>
      <c r="S18" s="639">
        <f>IFERROR(IF(AND(AU7=2,H27&gt;""),'Translate&amp;Prices&amp;Logo'!$B$576,IF(AND(AU7=1,H27&gt;""),'Translate&amp;Prices&amp;Logo'!$B$626,IF(AND(AU7=3,H27&gt;""),'Translate&amp;Prices&amp;Logo'!$B$626))),0)</f>
        <v>0</v>
      </c>
      <c r="T18" s="640"/>
      <c r="U18" s="640"/>
      <c r="V18" s="640"/>
      <c r="W18" s="640"/>
      <c r="X18" s="640"/>
      <c r="Y18" s="641"/>
      <c r="Z18" s="390"/>
      <c r="AA18" s="388"/>
      <c r="AB18" s="392"/>
      <c r="AC18" s="146"/>
      <c r="AD18" s="646"/>
      <c r="AE18" s="146"/>
      <c r="AF18" s="146"/>
      <c r="AG18" s="146"/>
      <c r="AH18" s="146"/>
      <c r="AI18" s="370"/>
      <c r="AJ18" s="371"/>
      <c r="AK18" s="146"/>
      <c r="AL18" s="146"/>
      <c r="AM18" s="667"/>
      <c r="AN18" s="146"/>
      <c r="AO18" s="391"/>
      <c r="AP18" s="384"/>
      <c r="AQ18" s="638"/>
      <c r="AR18" s="624"/>
      <c r="AS18" s="146"/>
      <c r="AT18" s="458"/>
      <c r="AU18" s="452"/>
      <c r="AV18" s="452"/>
    </row>
    <row r="19" spans="1:52" ht="18" customHeight="1">
      <c r="A19" s="371"/>
      <c r="B19" s="632">
        <f>IFERROR(IF(H12='Translate&amp;Prices&amp;Logo'!B551,'Translate&amp;Prices&amp;Logo'!$B$223,IF(VLOOKUP(H15,kombinace_2!CD:CE,2,0)=1,'Translate&amp;Prices&amp;Logo'!$B$223,)),0)</f>
        <v>0</v>
      </c>
      <c r="C19" s="633"/>
      <c r="D19" s="633"/>
      <c r="E19" s="633"/>
      <c r="F19" s="633"/>
      <c r="G19" s="408"/>
      <c r="H19" s="628"/>
      <c r="I19" s="628"/>
      <c r="J19" s="628"/>
      <c r="K19" s="628"/>
      <c r="L19" s="628"/>
      <c r="M19" s="628"/>
      <c r="N19" s="628"/>
      <c r="O19" s="628"/>
      <c r="P19" s="628"/>
      <c r="Q19" s="629"/>
      <c r="R19" s="371"/>
      <c r="S19" s="639"/>
      <c r="T19" s="640"/>
      <c r="U19" s="640"/>
      <c r="V19" s="640"/>
      <c r="W19" s="640"/>
      <c r="X19" s="640"/>
      <c r="Y19" s="641"/>
      <c r="Z19" s="390"/>
      <c r="AA19" s="387"/>
      <c r="AB19" s="689">
        <v>0</v>
      </c>
      <c r="AC19" s="689"/>
      <c r="AD19" s="646"/>
      <c r="AE19" s="146"/>
      <c r="AF19" s="146"/>
      <c r="AG19" s="146"/>
      <c r="AH19" s="146"/>
      <c r="AI19" s="469"/>
      <c r="AJ19" s="371"/>
      <c r="AK19" s="146"/>
      <c r="AL19" s="690" t="str">
        <f>'Translate&amp;Prices&amp;Logo'!$B$636</f>
        <v>Vzdálenost od spodního okraje</v>
      </c>
      <c r="AM19" s="667"/>
      <c r="AN19" s="689">
        <v>0</v>
      </c>
      <c r="AO19" s="689"/>
      <c r="AP19" s="386"/>
      <c r="AQ19" s="638"/>
      <c r="AR19" s="688" t="str">
        <f>'Translate&amp;Prices&amp;Logo'!$B$176</f>
        <v>Výška</v>
      </c>
      <c r="AS19" s="146"/>
      <c r="AT19" s="458"/>
      <c r="AU19" s="452">
        <f>IFERROR(IF(H12=kombinace_2!BR2,VLOOKUP(H15,kombinace_2!$CD:$CF,3,0),IF(H12=kombinace_2!BQ2,1,0)),0)</f>
        <v>0</v>
      </c>
      <c r="AV19" s="452">
        <f>IFERROR(VLOOKUP(H15,kombinace_2!$CD:$CF,3,0),0)</f>
        <v>0</v>
      </c>
    </row>
    <row r="20" spans="1:52" ht="18" customHeight="1">
      <c r="A20" s="371"/>
      <c r="B20" s="657">
        <f>IFERROR('Translate&amp;Prices&amp;Logo'!$B$242&amp;" "&amp;(VLOOKUP(H17,kombinace_2!$BY$32:$CA$35,2,0)),0)</f>
        <v>0</v>
      </c>
      <c r="C20" s="658"/>
      <c r="D20" s="658"/>
      <c r="E20" s="658"/>
      <c r="F20" s="651">
        <v>100</v>
      </c>
      <c r="G20" s="651"/>
      <c r="H20" s="651"/>
      <c r="I20" s="651"/>
      <c r="J20" s="658">
        <f>IFERROR('Translate&amp;Prices&amp;Logo'!$B$242&amp;" "&amp;(VLOOKUP(H17,kombinace_2!$BY$32:$CA$35,3,0)),0)</f>
        <v>0</v>
      </c>
      <c r="K20" s="658"/>
      <c r="L20" s="658"/>
      <c r="M20" s="658"/>
      <c r="N20" s="651">
        <v>100</v>
      </c>
      <c r="O20" s="651"/>
      <c r="P20" s="651"/>
      <c r="Q20" s="697"/>
      <c r="R20" s="371"/>
      <c r="S20" s="639"/>
      <c r="T20" s="640"/>
      <c r="U20" s="640"/>
      <c r="V20" s="640"/>
      <c r="W20" s="640"/>
      <c r="X20" s="640"/>
      <c r="Y20" s="641"/>
      <c r="Z20" s="390"/>
      <c r="AA20" s="388"/>
      <c r="AB20" s="389"/>
      <c r="AC20" s="146"/>
      <c r="AD20" s="646"/>
      <c r="AE20" s="146"/>
      <c r="AF20" s="146"/>
      <c r="AG20" s="146"/>
      <c r="AH20" s="146"/>
      <c r="AI20" s="370"/>
      <c r="AJ20" s="371"/>
      <c r="AK20" s="146"/>
      <c r="AL20" s="690"/>
      <c r="AM20" s="667"/>
      <c r="AN20" s="146"/>
      <c r="AO20" s="391"/>
      <c r="AP20" s="384"/>
      <c r="AQ20" s="638"/>
      <c r="AR20" s="688"/>
      <c r="AS20" s="146"/>
      <c r="AT20" s="458"/>
      <c r="AU20" s="452"/>
      <c r="AV20" s="452"/>
    </row>
    <row r="21" spans="1:52" ht="18" customHeight="1">
      <c r="A21" s="371"/>
      <c r="B21" s="632" t="str">
        <f>IF(kombinace_2!FC2=FALSE,'Translate&amp;Prices&amp;Logo'!$B$173," ")</f>
        <v>Typ úpravy skla</v>
      </c>
      <c r="C21" s="633"/>
      <c r="D21" s="633"/>
      <c r="E21" s="633"/>
      <c r="F21" s="633"/>
      <c r="G21" s="408"/>
      <c r="H21" s="668"/>
      <c r="I21" s="668"/>
      <c r="J21" s="668"/>
      <c r="K21" s="668"/>
      <c r="L21" s="668"/>
      <c r="M21" s="668"/>
      <c r="N21" s="668"/>
      <c r="O21" s="668"/>
      <c r="P21" s="668"/>
      <c r="Q21" s="669"/>
      <c r="R21" s="371"/>
      <c r="S21" s="639"/>
      <c r="T21" s="640"/>
      <c r="U21" s="640"/>
      <c r="V21" s="640"/>
      <c r="W21" s="640"/>
      <c r="X21" s="640"/>
      <c r="Y21" s="641"/>
      <c r="Z21" s="390"/>
      <c r="AA21" s="388"/>
      <c r="AB21" s="389"/>
      <c r="AC21" s="146"/>
      <c r="AD21" s="646"/>
      <c r="AE21" s="146"/>
      <c r="AF21" s="146"/>
      <c r="AG21" s="146"/>
      <c r="AH21" s="146"/>
      <c r="AI21" s="370"/>
      <c r="AJ21" s="371"/>
      <c r="AK21" s="146"/>
      <c r="AL21" s="690"/>
      <c r="AM21" s="667"/>
      <c r="AN21" s="146"/>
      <c r="AO21" s="390"/>
      <c r="AP21" s="384"/>
      <c r="AQ21" s="638"/>
      <c r="AR21" s="688"/>
      <c r="AS21" s="146"/>
      <c r="AT21" s="458"/>
      <c r="AU21" s="452"/>
      <c r="AV21" s="452"/>
      <c r="AY21" s="423" t="e">
        <f>AND(AU7=2,H27&gt;"")</f>
        <v>#N/A</v>
      </c>
      <c r="AZ21" s="423" t="e">
        <f>AND(AU7=1,H27&gt;"")</f>
        <v>#N/A</v>
      </c>
    </row>
    <row r="22" spans="1:52" ht="18" customHeight="1">
      <c r="A22" s="371"/>
      <c r="B22" s="563"/>
      <c r="C22" s="564"/>
      <c r="D22" s="564"/>
      <c r="E22" s="564"/>
      <c r="F22" s="564"/>
      <c r="G22" s="409"/>
      <c r="H22" s="409"/>
      <c r="I22" s="409"/>
      <c r="J22" s="409"/>
      <c r="K22" s="409"/>
      <c r="L22" s="409"/>
      <c r="M22" s="409"/>
      <c r="N22" s="409"/>
      <c r="O22" s="409"/>
      <c r="P22" s="409"/>
      <c r="Q22" s="465"/>
      <c r="R22" s="371"/>
      <c r="S22" s="639"/>
      <c r="T22" s="640"/>
      <c r="U22" s="640"/>
      <c r="V22" s="640"/>
      <c r="W22" s="640"/>
      <c r="X22" s="640"/>
      <c r="Y22" s="641"/>
      <c r="Z22" s="390"/>
      <c r="AA22" s="388"/>
      <c r="AB22" s="389"/>
      <c r="AC22" s="146"/>
      <c r="AD22" s="146"/>
      <c r="AE22" s="146"/>
      <c r="AF22" s="146"/>
      <c r="AG22" s="146"/>
      <c r="AH22" s="146"/>
      <c r="AI22" s="370"/>
      <c r="AJ22" s="371"/>
      <c r="AK22" s="146"/>
      <c r="AL22" s="690"/>
      <c r="AM22" s="385"/>
      <c r="AN22" s="146"/>
      <c r="AO22" s="390"/>
      <c r="AP22" s="384"/>
      <c r="AQ22" s="638"/>
      <c r="AR22" s="688"/>
      <c r="AS22" s="146"/>
      <c r="AT22" s="458"/>
      <c r="AU22" s="452"/>
      <c r="AV22" s="452"/>
    </row>
    <row r="23" spans="1:52" ht="18" customHeight="1">
      <c r="A23" s="371"/>
      <c r="B23" s="563"/>
      <c r="C23" s="564"/>
      <c r="D23" s="564"/>
      <c r="E23" s="564"/>
      <c r="F23" s="564"/>
      <c r="G23" s="409"/>
      <c r="H23" s="606" t="str">
        <f>"↥↥"&amp;" "&amp;'Translate&amp;Prices&amp;Logo'!$B$573&amp;" "&amp;B25&amp;" "&amp;"↥↥"</f>
        <v>↥↥ Již neměnit po tom co vyberete Typ skla/síťky ↥↥</v>
      </c>
      <c r="I23" s="606"/>
      <c r="J23" s="606"/>
      <c r="K23" s="606"/>
      <c r="L23" s="606"/>
      <c r="M23" s="606"/>
      <c r="N23" s="606"/>
      <c r="O23" s="606"/>
      <c r="P23" s="606"/>
      <c r="Q23" s="700"/>
      <c r="R23" s="371"/>
      <c r="S23" s="670"/>
      <c r="T23" s="671"/>
      <c r="U23" s="671"/>
      <c r="V23" s="671"/>
      <c r="W23" s="671"/>
      <c r="X23" s="671"/>
      <c r="Y23" s="672"/>
      <c r="Z23" s="390"/>
      <c r="AA23" s="388"/>
      <c r="AB23" s="389"/>
      <c r="AC23" s="146"/>
      <c r="AD23" s="146"/>
      <c r="AE23" s="146"/>
      <c r="AF23" s="146"/>
      <c r="AG23" s="146"/>
      <c r="AH23" s="146"/>
      <c r="AI23" s="370"/>
      <c r="AJ23" s="371"/>
      <c r="AK23" s="146"/>
      <c r="AL23" s="690"/>
      <c r="AM23" s="666">
        <v>0</v>
      </c>
      <c r="AN23" s="146"/>
      <c r="AO23" s="390"/>
      <c r="AP23" s="384"/>
      <c r="AQ23" s="638"/>
      <c r="AR23" s="688"/>
      <c r="AS23" s="146"/>
      <c r="AT23" s="458"/>
      <c r="AU23" s="452" t="e">
        <f>VLOOKUP(H17,kombinace_2!$BY:$BZ,2,0)</f>
        <v>#N/A</v>
      </c>
      <c r="AV23" s="452"/>
    </row>
    <row r="24" spans="1:52" ht="18" customHeight="1">
      <c r="A24" s="371"/>
      <c r="B24" s="714" t="str">
        <f>'Translate&amp;Prices&amp;Logo'!$B$562</f>
        <v>Typ folie</v>
      </c>
      <c r="C24" s="715"/>
      <c r="D24" s="715"/>
      <c r="E24" s="715"/>
      <c r="F24" s="715"/>
      <c r="G24" s="408"/>
      <c r="H24" s="590"/>
      <c r="I24" s="590"/>
      <c r="J24" s="590"/>
      <c r="K24" s="590"/>
      <c r="L24" s="590"/>
      <c r="M24" s="590"/>
      <c r="N24" s="590"/>
      <c r="O24" s="590"/>
      <c r="P24" s="590"/>
      <c r="Q24" s="642"/>
      <c r="R24" s="371"/>
      <c r="S24" s="676" t="str">
        <f>'Translate&amp;Prices&amp;Logo'!$B$177</f>
        <v>Poznámky</v>
      </c>
      <c r="T24" s="676"/>
      <c r="U24" s="676"/>
      <c r="Z24" s="390"/>
      <c r="AA24" s="388"/>
      <c r="AB24" s="389"/>
      <c r="AC24" s="678" t="str">
        <f>'Translate&amp;Prices&amp;Logo'!$B$242</f>
        <v>Vzdálenost od okraje</v>
      </c>
      <c r="AD24" s="678"/>
      <c r="AE24" s="678"/>
      <c r="AF24" s="678"/>
      <c r="AG24" s="678"/>
      <c r="AH24" s="146"/>
      <c r="AI24" s="370"/>
      <c r="AJ24" s="371"/>
      <c r="AK24" s="146"/>
      <c r="AL24" s="690"/>
      <c r="AM24" s="666"/>
      <c r="AN24" s="146"/>
      <c r="AO24" s="390"/>
      <c r="AP24" s="393"/>
      <c r="AQ24" s="638"/>
      <c r="AR24" s="146"/>
      <c r="AS24" s="146"/>
      <c r="AT24" s="458"/>
      <c r="AU24" s="452" t="e">
        <f>CONCATENATE(AU23,"_",H19)</f>
        <v>#N/A</v>
      </c>
      <c r="AV24" s="452"/>
      <c r="AW24" s="423">
        <f>IF(AI30&gt;=2600,1.3,IF(AR14&gt;=2600,1.3,1))</f>
        <v>1</v>
      </c>
    </row>
    <row r="25" spans="1:52" ht="18" customHeight="1">
      <c r="A25" s="371"/>
      <c r="B25" s="632" t="str">
        <f>'Translate&amp;Prices&amp;Logo'!$B$625</f>
        <v>Typ skla/síťky</v>
      </c>
      <c r="C25" s="633"/>
      <c r="D25" s="633"/>
      <c r="E25" s="633"/>
      <c r="F25" s="633"/>
      <c r="G25" s="408"/>
      <c r="H25" s="628"/>
      <c r="I25" s="628"/>
      <c r="J25" s="628"/>
      <c r="K25" s="628"/>
      <c r="L25" s="628"/>
      <c r="M25" s="628"/>
      <c r="N25" s="628"/>
      <c r="O25" s="628"/>
      <c r="P25" s="628"/>
      <c r="Q25" s="629"/>
      <c r="R25" s="371"/>
      <c r="S25" s="705"/>
      <c r="T25" s="706"/>
      <c r="U25" s="706"/>
      <c r="V25" s="706"/>
      <c r="W25" s="706"/>
      <c r="X25" s="706"/>
      <c r="Y25" s="707"/>
      <c r="Z25" s="390"/>
      <c r="AA25" s="388"/>
      <c r="AB25" s="389"/>
      <c r="AC25" s="689">
        <v>0</v>
      </c>
      <c r="AD25" s="689"/>
      <c r="AE25" s="385"/>
      <c r="AF25" s="645" t="str">
        <f>('Translate&amp;Prices&amp;Logo'!$B$548)&amp;" "&amp;H26&amp;" "&amp;"mm"</f>
        <v>Rozteč  mm</v>
      </c>
      <c r="AG25" s="645"/>
      <c r="AH25" s="645"/>
      <c r="AI25" s="645"/>
      <c r="AJ25" s="645"/>
      <c r="AK25" s="645"/>
      <c r="AL25" s="690"/>
      <c r="AM25" s="666"/>
      <c r="AN25" s="146"/>
      <c r="AO25" s="390"/>
      <c r="AP25" s="393"/>
      <c r="AQ25" s="638"/>
      <c r="AR25" s="146"/>
      <c r="AS25" s="146"/>
      <c r="AT25" s="458"/>
      <c r="AU25" s="452" t="e">
        <f>VLOOKUP(H27,kombinace_2!$BY:$BZ,2,0)</f>
        <v>#N/A</v>
      </c>
      <c r="AV25" s="452"/>
    </row>
    <row r="26" spans="1:52" ht="18" customHeight="1">
      <c r="A26" s="371"/>
      <c r="B26" s="632" t="str">
        <f>'Translate&amp;Prices&amp;Logo'!$B$549</f>
        <v>Rozteč úchytky (mm)</v>
      </c>
      <c r="C26" s="633"/>
      <c r="D26" s="633"/>
      <c r="E26" s="633"/>
      <c r="F26" s="633"/>
      <c r="G26" s="408"/>
      <c r="H26" s="686"/>
      <c r="I26" s="686"/>
      <c r="J26" s="686"/>
      <c r="K26" s="686"/>
      <c r="L26" s="686"/>
      <c r="M26" s="686"/>
      <c r="N26" s="686"/>
      <c r="O26" s="686"/>
      <c r="P26" s="686"/>
      <c r="Q26" s="687"/>
      <c r="R26" s="371"/>
      <c r="S26" s="708"/>
      <c r="T26" s="709"/>
      <c r="U26" s="709"/>
      <c r="V26" s="709"/>
      <c r="W26" s="709"/>
      <c r="X26" s="709"/>
      <c r="Y26" s="710"/>
      <c r="Z26" s="390"/>
      <c r="AA26" s="388"/>
      <c r="AB26" s="389"/>
      <c r="AC26" s="146"/>
      <c r="AD26" s="146"/>
      <c r="AE26" s="146"/>
      <c r="AF26" s="146"/>
      <c r="AG26" s="146"/>
      <c r="AH26" s="146"/>
      <c r="AI26" s="370"/>
      <c r="AJ26" s="637">
        <v>0</v>
      </c>
      <c r="AK26" s="146"/>
      <c r="AL26" s="146"/>
      <c r="AM26" s="146"/>
      <c r="AN26" s="146"/>
      <c r="AO26" s="390"/>
      <c r="AP26" s="384"/>
      <c r="AQ26" s="638"/>
      <c r="AR26" s="146"/>
      <c r="AS26" s="146"/>
      <c r="AT26" s="458"/>
    </row>
    <row r="27" spans="1:52" ht="18" customHeight="1">
      <c r="A27" s="371"/>
      <c r="B27" s="632" t="str">
        <f>'Translate&amp;Prices&amp;Logo'!$B$550</f>
        <v>Umístění úchytky</v>
      </c>
      <c r="C27" s="633"/>
      <c r="D27" s="633"/>
      <c r="E27" s="633"/>
      <c r="F27" s="633"/>
      <c r="G27" s="408"/>
      <c r="H27" s="628"/>
      <c r="I27" s="628"/>
      <c r="J27" s="628"/>
      <c r="K27" s="628"/>
      <c r="L27" s="628"/>
      <c r="M27" s="628"/>
      <c r="N27" s="628"/>
      <c r="O27" s="628"/>
      <c r="P27" s="628"/>
      <c r="Q27" s="629"/>
      <c r="R27" s="371"/>
      <c r="S27" s="708"/>
      <c r="T27" s="709"/>
      <c r="U27" s="709"/>
      <c r="V27" s="709"/>
      <c r="W27" s="709"/>
      <c r="X27" s="709"/>
      <c r="Y27" s="710"/>
      <c r="Z27" s="390"/>
      <c r="AA27" s="378"/>
      <c r="AB27" s="394"/>
      <c r="AC27" s="395"/>
      <c r="AD27" s="395"/>
      <c r="AE27" s="395"/>
      <c r="AF27" s="395"/>
      <c r="AG27" s="395"/>
      <c r="AH27" s="396"/>
      <c r="AI27" s="397"/>
      <c r="AJ27" s="637"/>
      <c r="AK27" s="395"/>
      <c r="AL27" s="395"/>
      <c r="AM27" s="395"/>
      <c r="AN27" s="395"/>
      <c r="AO27" s="398"/>
      <c r="AP27" s="384"/>
      <c r="AQ27" s="638"/>
      <c r="AR27" s="146"/>
      <c r="AS27" s="146"/>
      <c r="AT27" s="458"/>
    </row>
    <row r="28" spans="1:52" ht="18" customHeight="1">
      <c r="A28" s="371"/>
      <c r="B28" s="673" t="str">
        <f>('Translate&amp;Prices&amp;Logo'!$B$174)</f>
        <v>Počet kusů</v>
      </c>
      <c r="C28" s="674"/>
      <c r="D28" s="674"/>
      <c r="E28" s="674"/>
      <c r="F28" s="674"/>
      <c r="G28" s="408"/>
      <c r="H28" s="681"/>
      <c r="I28" s="681"/>
      <c r="J28" s="681"/>
      <c r="K28" s="681"/>
      <c r="L28" s="681"/>
      <c r="M28" s="681"/>
      <c r="N28" s="681"/>
      <c r="O28" s="681"/>
      <c r="P28" s="681"/>
      <c r="Q28" s="682"/>
      <c r="R28" s="371"/>
      <c r="S28" s="708"/>
      <c r="T28" s="709"/>
      <c r="U28" s="709"/>
      <c r="V28" s="709"/>
      <c r="W28" s="709"/>
      <c r="X28" s="709"/>
      <c r="Y28" s="710"/>
      <c r="Z28" s="390"/>
      <c r="AA28" s="399"/>
      <c r="AB28" s="400"/>
      <c r="AC28" s="401"/>
      <c r="AD28" s="401"/>
      <c r="AE28" s="400"/>
      <c r="AF28" s="400"/>
      <c r="AG28" s="400"/>
      <c r="AH28" s="400"/>
      <c r="AI28" s="402"/>
      <c r="AJ28" s="376"/>
      <c r="AK28" s="400"/>
      <c r="AL28" s="400"/>
      <c r="AM28" s="401"/>
      <c r="AN28" s="401"/>
      <c r="AO28" s="400"/>
      <c r="AP28" s="403"/>
      <c r="AQ28" s="389"/>
      <c r="AR28" s="146"/>
      <c r="AS28" s="146"/>
      <c r="AT28" s="458"/>
    </row>
    <row r="29" spans="1:52" ht="18" customHeight="1">
      <c r="A29" s="371"/>
      <c r="B29" s="418"/>
      <c r="C29" s="407"/>
      <c r="D29" s="407"/>
      <c r="E29" s="407"/>
      <c r="F29" s="407" t="str">
        <f>'Translate&amp;Prices&amp;Logo'!$B$556</f>
        <v>Ano</v>
      </c>
      <c r="G29" s="407" t="str">
        <f>'Translate&amp;Prices&amp;Logo'!$B$557</f>
        <v>Ne</v>
      </c>
      <c r="H29" s="664"/>
      <c r="I29" s="664"/>
      <c r="J29" s="698" t="str">
        <f>S44&amp;" "&amp;'Translate&amp;Prices&amp;Logo'!$B$225</f>
        <v xml:space="preserve"> Dodat včetně uvedeného kování</v>
      </c>
      <c r="K29" s="698"/>
      <c r="L29" s="698"/>
      <c r="M29" s="698"/>
      <c r="N29" s="698"/>
      <c r="O29" s="698"/>
      <c r="P29" s="698"/>
      <c r="Q29" s="699"/>
      <c r="R29" s="371"/>
      <c r="S29" s="708"/>
      <c r="T29" s="709"/>
      <c r="U29" s="709"/>
      <c r="V29" s="709"/>
      <c r="W29" s="709"/>
      <c r="X29" s="709"/>
      <c r="Y29" s="710"/>
      <c r="Z29" s="146"/>
      <c r="AA29" s="424" t="e">
        <f>VLOOKUP(H14,kombinace_2!$DN$7:$DO$21,2,0)</f>
        <v>#N/A</v>
      </c>
      <c r="AB29" s="665">
        <f>IFERROR(IF(AND($AU$17&lt;=2,H12=kombinace_2!BQ2),'Translate&amp;Prices&amp;Logo'!$B$577,0),0)</f>
        <v>0</v>
      </c>
      <c r="AC29" s="665"/>
      <c r="AD29" s="665"/>
      <c r="AE29" s="665"/>
      <c r="AF29" s="665"/>
      <c r="AG29" s="665"/>
      <c r="AH29" s="665"/>
      <c r="AI29" s="665"/>
      <c r="AJ29" s="665"/>
      <c r="AK29" s="665"/>
      <c r="AL29" s="665"/>
      <c r="AM29" s="665"/>
      <c r="AN29" s="665"/>
      <c r="AO29" s="665"/>
      <c r="AP29" s="424"/>
      <c r="AQ29" s="146"/>
      <c r="AR29" s="146"/>
      <c r="AS29" s="146"/>
      <c r="AT29" s="458"/>
    </row>
    <row r="30" spans="1:52" ht="23.25" customHeight="1">
      <c r="A30" s="371"/>
      <c r="B30" s="701" t="str">
        <f>'Translate&amp;Prices&amp;Logo'!$B$178</f>
        <v>Cena rámečků celkem</v>
      </c>
      <c r="C30" s="702"/>
      <c r="D30" s="702"/>
      <c r="E30" s="702"/>
      <c r="F30" s="702"/>
      <c r="G30" s="702"/>
      <c r="H30" s="702"/>
      <c r="I30" s="702"/>
      <c r="J30" s="702"/>
      <c r="K30" s="598"/>
      <c r="L30" s="649">
        <f>(((AT11+AT13+AT15+AT17+AT33+AT35+AT37)*AT43)*(1-Zakaznik!K23))*AW24</f>
        <v>0</v>
      </c>
      <c r="M30" s="649"/>
      <c r="N30" s="649"/>
      <c r="O30" s="649"/>
      <c r="P30" s="691" t="str">
        <f>VLOOKUP('Translate&amp;Prices&amp;Logo'!D1,kombinace_2!$EV$1:$EW$5,2,0)</f>
        <v>Kč</v>
      </c>
      <c r="Q30" s="692"/>
      <c r="R30" s="371"/>
      <c r="S30" s="708"/>
      <c r="T30" s="709"/>
      <c r="U30" s="709"/>
      <c r="V30" s="709"/>
      <c r="W30" s="709"/>
      <c r="X30" s="709"/>
      <c r="Y30" s="710"/>
      <c r="Z30" s="146"/>
      <c r="AA30" s="146"/>
      <c r="AB30" s="371"/>
      <c r="AC30" s="146"/>
      <c r="AD30" s="146"/>
      <c r="AE30" s="146"/>
      <c r="AF30" s="679" t="str">
        <f>'Translate&amp;Prices&amp;Logo'!$B$175</f>
        <v xml:space="preserve">Šířka </v>
      </c>
      <c r="AG30" s="679"/>
      <c r="AH30" s="679"/>
      <c r="AI30" s="695"/>
      <c r="AJ30" s="695"/>
      <c r="AK30" s="695"/>
      <c r="AL30" s="146"/>
      <c r="AM30" s="146"/>
      <c r="AN30" s="146"/>
      <c r="AO30" s="146"/>
      <c r="AP30" s="146"/>
      <c r="AQ30" s="146"/>
      <c r="AR30" s="146"/>
      <c r="AS30" s="146"/>
      <c r="AT30" s="458"/>
    </row>
    <row r="31" spans="1:52" ht="14.1" customHeight="1" thickBot="1">
      <c r="A31" s="371"/>
      <c r="B31" s="703"/>
      <c r="C31" s="704"/>
      <c r="D31" s="704"/>
      <c r="E31" s="704"/>
      <c r="F31" s="704"/>
      <c r="G31" s="704"/>
      <c r="H31" s="704"/>
      <c r="I31" s="704"/>
      <c r="J31" s="704"/>
      <c r="K31" s="599"/>
      <c r="L31" s="650"/>
      <c r="M31" s="650"/>
      <c r="N31" s="650"/>
      <c r="O31" s="650"/>
      <c r="P31" s="693"/>
      <c r="Q31" s="694"/>
      <c r="R31" s="371"/>
      <c r="S31" s="711"/>
      <c r="T31" s="712"/>
      <c r="U31" s="712"/>
      <c r="V31" s="712"/>
      <c r="W31" s="712"/>
      <c r="X31" s="712"/>
      <c r="Y31" s="713"/>
      <c r="Z31" s="146"/>
      <c r="AA31" s="413"/>
      <c r="AB31" s="404"/>
      <c r="AC31" s="404"/>
      <c r="AD31" s="413"/>
      <c r="AE31" s="413"/>
      <c r="AF31" s="413"/>
      <c r="AG31" s="413"/>
      <c r="AH31" s="413"/>
      <c r="AI31" s="413"/>
      <c r="AJ31" s="413"/>
      <c r="AK31" s="413"/>
      <c r="AL31" s="413"/>
      <c r="AM31" s="413"/>
      <c r="AN31" s="413"/>
      <c r="AO31" s="675" t="str">
        <f>'Translate&amp;Prices&amp;Logo'!$B$567</f>
        <v>Souhrn</v>
      </c>
      <c r="AP31" s="675"/>
      <c r="AQ31" s="675"/>
      <c r="AR31" s="675"/>
      <c r="AS31" s="146"/>
      <c r="AT31" s="458"/>
    </row>
    <row r="32" spans="1:52" ht="17.25" customHeight="1">
      <c r="A32" s="371"/>
      <c r="B32" s="680" t="str">
        <f>'Translate&amp;Prices&amp;Logo'!$B$171</f>
        <v>Uvedené ceny jsou bez DPH a nezahrnují cenu požadovaného kování!</v>
      </c>
      <c r="C32" s="680"/>
      <c r="D32" s="680"/>
      <c r="E32" s="680"/>
      <c r="F32" s="680"/>
      <c r="G32" s="680"/>
      <c r="H32" s="680"/>
      <c r="I32" s="680"/>
      <c r="J32" s="680"/>
      <c r="K32" s="680"/>
      <c r="L32" s="680"/>
      <c r="M32" s="680"/>
      <c r="N32" s="680"/>
      <c r="O32" s="680"/>
      <c r="P32" s="680"/>
      <c r="Q32" s="680"/>
      <c r="R32" s="371"/>
      <c r="S32" s="146"/>
      <c r="T32" s="146"/>
      <c r="U32" s="146"/>
      <c r="V32" s="146"/>
      <c r="W32" s="146"/>
      <c r="X32" s="146"/>
      <c r="Y32" s="146"/>
      <c r="Z32" s="146"/>
      <c r="AA32" s="146"/>
      <c r="AB32" s="371"/>
      <c r="AC32" s="146"/>
      <c r="AD32" s="146"/>
      <c r="AE32" s="146"/>
      <c r="AF32" s="146"/>
      <c r="AG32" s="146"/>
      <c r="AH32" s="146"/>
      <c r="AI32" s="146"/>
      <c r="AJ32" s="146"/>
      <c r="AK32" s="146"/>
      <c r="AL32" s="146"/>
      <c r="AM32" s="146"/>
      <c r="AN32" s="146"/>
      <c r="AO32" s="675"/>
      <c r="AP32" s="675"/>
      <c r="AQ32" s="675"/>
      <c r="AR32" s="675"/>
      <c r="AS32" s="371"/>
      <c r="AT32" s="458"/>
    </row>
    <row r="33" spans="1:49" ht="20.25" customHeight="1">
      <c r="A33" s="371"/>
      <c r="B33" s="636" t="str">
        <f>'Translate&amp;Prices&amp;Logo'!$B$641</f>
        <v xml:space="preserve">Rámečky bez skla se dodávají v demontovaném stavu. </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146"/>
      <c r="AA33" s="146"/>
      <c r="AB33" s="371"/>
      <c r="AC33" s="146"/>
      <c r="AD33" s="146"/>
      <c r="AE33" s="146"/>
      <c r="AF33" s="460"/>
      <c r="AG33" s="146"/>
      <c r="AH33" s="146"/>
      <c r="AI33" s="146"/>
      <c r="AJ33" s="146"/>
      <c r="AK33" s="146"/>
      <c r="AL33" s="146"/>
      <c r="AM33" s="146"/>
      <c r="AN33" s="146"/>
      <c r="AO33" s="146"/>
      <c r="AP33" s="146"/>
      <c r="AQ33" s="146"/>
      <c r="AR33" s="146"/>
      <c r="AS33" s="371"/>
      <c r="AT33" s="458">
        <f>IF(kombinace_2!V1=2,((AR14/1000)*(AI30/1000))*'Translate&amp;Prices&amp;Logo'!C94,0)</f>
        <v>0</v>
      </c>
    </row>
    <row r="34" spans="1:49" s="460" customFormat="1" ht="18.600000000000001" customHeight="1">
      <c r="A34" s="461"/>
      <c r="R34" s="461"/>
      <c r="AS34" s="459"/>
      <c r="AT34" s="459"/>
    </row>
    <row r="35" spans="1:49" ht="15" hidden="1" customHeight="1">
      <c r="B35" s="423"/>
      <c r="R35" s="452"/>
      <c r="S35" s="452"/>
      <c r="T35" s="461"/>
      <c r="AD35" s="423"/>
      <c r="AE35" s="423"/>
      <c r="AN35" s="460"/>
      <c r="AO35" s="460"/>
      <c r="AP35" s="460"/>
      <c r="AQ35" s="460"/>
      <c r="AS35" s="458"/>
      <c r="AT35" s="458">
        <f>IF(kombinace_2!$V$1=3,IFERROR(((VLOOKUP(H24,'Translate&amp;Prices&amp;Logo'!B91:C93,2,0))*(AR14/1000)),0),0)</f>
        <v>0</v>
      </c>
    </row>
    <row r="36" spans="1:49" s="469" customFormat="1" ht="18.600000000000001" hidden="1" customHeight="1">
      <c r="A36" s="461"/>
      <c r="B36" s="469" t="str">
        <f t="array" ref="B36:B114">IF(kombinace_2!FC2=TRUE,_profily_síťka,IF(kombinace_2!H1=TRUE,_kombinovane_profily,_vše_profily))</f>
        <v>BRW (elox.)</v>
      </c>
      <c r="H36" s="469" t="str">
        <f t="array" ref="H36:H39">kombinace_2!$BY$13:$BY$15</f>
        <v>Horizontálně</v>
      </c>
      <c r="L36" s="469" t="str">
        <f t="array" ref="L36:M36">IF(kombinace_2!H1=TRUE,kombinace_2!$BQ$2:$BR$2,IF(H8=kombinace_2!A35,kombinace_2!$BQ$2,IF(H8=kombinace_2!A36,kombinace_2!$BQ$2,IF(H8=kombinace_2!A37,kombinace_2!$BQ$2,IF(H8=kombinace_2!A64,kombinace_2!$BQ$2,IF(H8=kombinace_2!A65,kombinace_2!$BQ$2,IF(H8=kombinace_2!A66,kombinace_2!$BQ$2,IF(H8=kombinace_2!A67,kombinace_2!$BQ$2,kombinace_2!$BQ$2:$BR$2))))))))</f>
        <v>Závěsy</v>
      </c>
      <c r="M36" s="469" t="str">
        <v>Závěsy</v>
      </c>
      <c r="P36" s="469" t="str">
        <f t="array" ref="P36:P38">IF(H13=kombinace_2!BQ11,kombinace_2!$DN$2,kombinace_2!$DN$2:$DN$4)</f>
        <v>Naložený</v>
      </c>
      <c r="T36" s="469" t="e">
        <f t="array" aca="1" ref="T36:T45" ca="1">IF(H13=kombinace_2!BQ11,kombinace_2!$FA$2:$FA$9,IF(AND(OR(H8=kombinace_2!A35,H8=kombinace_2!A37),H13=kombinace_2!BQ4),INDIRECT(VLOOKUP(CONCATENATE("_",$AV$7,"_",$H$13,"_",$AA$29,"_Rocca"),kombinace_2!$ER:$ES,2,0)),IF($AU$9=2,INDIRECT(VLOOKUP(CONCATENATE("_",$AV$7,"_",$H$13,"_",$AA$29),kombinace_2!$ER:$ES,2,0)),IF($AU$9=3,INDIRECT(VLOOKUP($T$47,kombinace_2!$AA:$AB,2,0)),$Y$48))))</f>
        <v>#N/A</v>
      </c>
      <c r="Y36" s="469" t="str">
        <f t="array" ref="Y36:Y39">IF(kombinace_2!$H$1=TRUE,_znacka_zavesy,IF($H$12=kombinace_2!$BQ$2,_znacka_zavesy,_znacka_vyklopy))</f>
        <v>Blum</v>
      </c>
      <c r="AF36" s="469" t="e">
        <f t="array" aca="1" ref="AF36" ca="1">INDIRECT(CONCATENATE("_",AV7,"_",H15))</f>
        <v>#N/A</v>
      </c>
      <c r="AJ36" s="469">
        <f t="array" ref="AJ36:AJ40">IF(AM19&lt;2100,kombinace_2!BY8:BY12,kombinace_2!BY8:BY12)</f>
        <v>2</v>
      </c>
    </row>
    <row r="37" spans="1:49" s="469" customFormat="1" ht="15" hidden="1" customHeight="1">
      <c r="A37" s="452"/>
      <c r="B37" s="469" t="str">
        <v>BRW bílá mat</v>
      </c>
      <c r="H37" s="469" t="str">
        <v>Vertikálně</v>
      </c>
      <c r="P37" s="469" t="e">
        <v>#N/A</v>
      </c>
      <c r="T37" s="469" t="e">
        <f ca="1"/>
        <v>#N/A</v>
      </c>
      <c r="Y37" s="469" t="str">
        <v>ITALIANA ferramenta</v>
      </c>
      <c r="AD37" s="470"/>
      <c r="AJ37" s="469">
        <v>3</v>
      </c>
      <c r="AS37" s="469" t="s">
        <v>18</v>
      </c>
      <c r="AT37" s="469">
        <f>IFERROR((VLOOKUP(H25,'Translate&amp;Prices&amp;Logo'!B99:D167,2,0))*((AI30/1000)*(AR14/1000)),0)</f>
        <v>0</v>
      </c>
    </row>
    <row r="38" spans="1:49" s="469" customFormat="1" ht="18.600000000000001" hidden="1" customHeight="1">
      <c r="A38" s="452"/>
      <c r="B38" s="469" t="str">
        <v>BRW bílá lesk</v>
      </c>
      <c r="H38" s="469" t="str">
        <v>Horizontálně i Vertikálně</v>
      </c>
      <c r="L38" s="469" t="str">
        <f t="array" ref="L38:L42">IF($H$12=kombinace_2!$BQ$2, IF(OR($H$8='Translate&amp;Prices&amp;Logo'!$B$71,$H$8='Translate&amp;Prices&amp;Logo'!$B$72,$H$8='Translate&amp;Prices&amp;Logo'!$B$73,$H$8='Translate&amp;Prices&amp;Logo'!$B$74), _znacka_zavesy_proROMA, _znacka_zavesy), _znacka_vyklopy)</f>
        <v>Blum</v>
      </c>
      <c r="M38" s="469" t="str">
        <f>L38</f>
        <v>Blum</v>
      </c>
      <c r="P38" s="469" t="e">
        <v>#N/A</v>
      </c>
      <c r="T38" s="469" t="e">
        <f ca="1"/>
        <v>#N/A</v>
      </c>
      <c r="Y38" s="469" t="str">
        <v>StrongLift</v>
      </c>
      <c r="AD38" s="470"/>
      <c r="AJ38" s="469">
        <v>4</v>
      </c>
    </row>
    <row r="39" spans="1:49" s="469" customFormat="1" ht="15" hidden="1" customHeight="1">
      <c r="A39" s="452"/>
      <c r="B39" s="469" t="str">
        <v>BRW broušené</v>
      </c>
      <c r="H39" s="469" t="e">
        <v>#N/A</v>
      </c>
      <c r="L39" s="469" t="str">
        <v>ITALIANA ferramenta</v>
      </c>
      <c r="T39" s="469" t="e">
        <f ca="1"/>
        <v>#N/A</v>
      </c>
      <c r="Y39" s="469" t="str">
        <v xml:space="preserve">Kesseböhmer </v>
      </c>
      <c r="AD39" s="470"/>
      <c r="AJ39" s="469">
        <v>5</v>
      </c>
      <c r="AS39" s="469" t="s">
        <v>2305</v>
      </c>
    </row>
    <row r="40" spans="1:49" s="469" customFormat="1" ht="18.600000000000001" hidden="1" customHeight="1">
      <c r="A40" s="452"/>
      <c r="B40" s="469" t="str">
        <v>BRW černá mat</v>
      </c>
      <c r="L40" s="469" t="str">
        <v>StrongLift</v>
      </c>
      <c r="T40" s="469" t="e">
        <f ca="1"/>
        <v>#N/A</v>
      </c>
      <c r="AJ40" s="469">
        <v>6</v>
      </c>
      <c r="AV40" s="469" t="str">
        <f t="array" ref="AV40:AW40">IF(kombinace_2!H1=TRUE,kombinace_2!$BQ$2:$BR$2,IF(H8=kombinace_2!A35,kombinace_2!$BQ$2,IF(H8=kombinace_2!A36,kombinace_2!$BQ$2,IF(H8=kombinace_2!A37,kombinace_2!$BQ$2,kombinace_2!$BQ$2:$BR$2))))</f>
        <v>Závěsy</v>
      </c>
      <c r="AW40" s="469" t="str">
        <v>Závěsy</v>
      </c>
    </row>
    <row r="41" spans="1:49" s="469" customFormat="1" ht="15" hidden="1" customHeight="1">
      <c r="A41" s="452"/>
      <c r="B41" s="469" t="str">
        <v>BRW černá broušená</v>
      </c>
      <c r="L41" s="469" t="str">
        <v xml:space="preserve">Kesseböhmer </v>
      </c>
      <c r="T41" s="469" t="e">
        <f ca="1"/>
        <v>#N/A</v>
      </c>
      <c r="AS41" s="469" t="s">
        <v>2306</v>
      </c>
    </row>
    <row r="42" spans="1:49" s="469" customFormat="1" ht="18.600000000000001" hidden="1" customHeight="1">
      <c r="A42" s="452"/>
      <c r="B42" s="469" t="str">
        <v>BRW světlá nerez (ACIER GRATA)</v>
      </c>
      <c r="L42" s="469" t="str">
        <v>Hettich</v>
      </c>
      <c r="T42" s="469" t="e">
        <f ca="1"/>
        <v>#N/A</v>
      </c>
      <c r="AD42" s="469" t="e">
        <f>CONCATENATE("_",AV7,"_",H13,"_",AA29)</f>
        <v>#N/A</v>
      </c>
    </row>
    <row r="43" spans="1:49" s="469" customFormat="1" ht="15" hidden="1" customHeight="1">
      <c r="A43" s="452"/>
      <c r="B43" s="469" t="str">
        <v>BRW champagne</v>
      </c>
      <c r="T43" s="469" t="e">
        <f ca="1"/>
        <v>#N/A</v>
      </c>
      <c r="AS43" s="469" t="s">
        <v>2307</v>
      </c>
      <c r="AT43" s="469">
        <f>H28</f>
        <v>0</v>
      </c>
    </row>
    <row r="44" spans="1:49" s="469" customFormat="1" ht="18.600000000000001" hidden="1" customHeight="1">
      <c r="A44" s="452"/>
      <c r="B44" s="469" t="str">
        <v>BRW champagne light</v>
      </c>
      <c r="M44" s="469" t="s">
        <v>4245</v>
      </c>
      <c r="N44" s="469" t="s">
        <v>2104</v>
      </c>
      <c r="T44" s="469" t="e">
        <f ca="1"/>
        <v>#N/A</v>
      </c>
      <c r="AD44" s="469" t="e">
        <f>CONCATENATE("_",AV7,"_",H15)</f>
        <v>#N/A</v>
      </c>
    </row>
    <row r="45" spans="1:49" s="469" customFormat="1" ht="14.85" hidden="1" customHeight="1">
      <c r="A45" s="452"/>
      <c r="B45" s="469" t="str">
        <v>BRW tmavá nerez br. (Inox lija)</v>
      </c>
      <c r="M45" s="469" t="s">
        <v>4246</v>
      </c>
      <c r="N45" s="469" t="s">
        <v>2104</v>
      </c>
      <c r="T45" s="469" t="e">
        <f ca="1"/>
        <v>#N/A</v>
      </c>
      <c r="AD45" s="469" t="s">
        <v>3791</v>
      </c>
    </row>
    <row r="46" spans="1:49" s="469" customFormat="1" ht="14.85" hidden="1" customHeight="1">
      <c r="A46" s="452"/>
      <c r="B46" s="469" t="str">
        <v>BRW zlatá</v>
      </c>
    </row>
    <row r="47" spans="1:49" s="469" customFormat="1" ht="14.85" hidden="1" customHeight="1">
      <c r="A47" s="452"/>
      <c r="B47" s="469" t="str">
        <v>BRW zlatá broušená</v>
      </c>
      <c r="T47" s="469" t="str">
        <f>CONCATENATE(H13,"_",VLOOKUP(kombinace_2!H1,kombinace_2!$J$14:$K$15,2,0))</f>
        <v>_2</v>
      </c>
    </row>
    <row r="48" spans="1:49" s="469" customFormat="1" ht="14.85" hidden="1" customHeight="1">
      <c r="A48" s="452"/>
      <c r="B48" s="469" t="str">
        <v>Corleone (elox.)</v>
      </c>
      <c r="T48" s="469" t="e">
        <f>VLOOKUP(CONCATENATE("_",AV7,"_",H13,"_",AA29),kombinace_2!ER:ES,2,0)</f>
        <v>#N/A</v>
      </c>
    </row>
    <row r="49" spans="1:30" s="469" customFormat="1" ht="14.85" hidden="1" customHeight="1">
      <c r="A49" s="452"/>
      <c r="B49" s="469" t="str">
        <v>Corleone černé mat</v>
      </c>
    </row>
    <row r="50" spans="1:30" s="469" customFormat="1" ht="14.85" hidden="1" customHeight="1">
      <c r="A50" s="452"/>
      <c r="B50" s="469" t="str">
        <v>ASTI černá mat</v>
      </c>
    </row>
    <row r="51" spans="1:30" s="469" customFormat="1" ht="14.85" hidden="1" customHeight="1">
      <c r="A51" s="452"/>
      <c r="B51" s="469" t="str">
        <v>ASTI antracit RAL 7021 mat</v>
      </c>
    </row>
    <row r="52" spans="1:30" s="469" customFormat="1" ht="14.85" hidden="1" customHeight="1">
      <c r="A52" s="452"/>
      <c r="B52" s="469" t="str">
        <v>Imola (elox.)</v>
      </c>
    </row>
    <row r="53" spans="1:30" s="469" customFormat="1" ht="14.85" hidden="1" customHeight="1">
      <c r="A53" s="452"/>
      <c r="B53" s="469" t="str">
        <v>Imola černá mat</v>
      </c>
    </row>
    <row r="54" spans="1:30" s="469" customFormat="1" ht="14.85" hidden="1" customHeight="1">
      <c r="A54" s="452"/>
      <c r="B54" s="469" t="str">
        <v>Imola bílá mat</v>
      </c>
      <c r="H54" s="469" t="str">
        <f t="array" ref="H54:H60">IF($H$15=kombinace_2!$AB$40,_strong_vzpera_horni,IF($H$15=kombinace_2!$AB$41,_stronglift_klopna,IF($H$12=kombinace_2!$BQ$2,$J$65:$J$71,'Translate&amp;Prices&amp;Logo'!$B$185:$B$186)))</f>
        <v>Horní dvířko</v>
      </c>
      <c r="K54" s="469" t="str">
        <f t="array" ref="K54:K58">IF(OR($H$15=kombinace_2!AB40,$H$15=kombinace_2!AB7,$H$15=kombinace_2!AB15,$H$15=kombinace_2!AB21,$H$15=kombinace_2!AB22,$H$15=kombinace_2!AB23),'Translate&amp;Prices&amp;Logo'!$B$229:$B$231,IF($H$15=kombinace_2!AB41,'Translate&amp;Prices&amp;Logo'!$B$229:$B$231,'Translate&amp;Prices&amp;Logo'!$B$233:$B$237))</f>
        <v>Úzký ALU rámeček</v>
      </c>
      <c r="P54" s="469" t="str">
        <f t="array" ref="P54:P57">IF(OR(H8=kombinace_2!F14,H8=kombinace_2!F15,H8=kombinace_2!F16,H8=kombinace_2!F17,H8=kombinace_2!F18,H8=kombinace_2!F19),_zavesy_kombo,IF(H15=kombinace_2!AB8,_ramena_HL,_umisteni_zavesu))</f>
        <v>Vlevo</v>
      </c>
      <c r="T54" s="469" t="str">
        <f t="array" ref="T54:T56">kombinace_2!$EN$3:$EN$5</f>
        <v>Bez úprav</v>
      </c>
      <c r="U54" s="469">
        <v>1</v>
      </c>
      <c r="X54" s="469" t="str">
        <f t="array" ref="X54:X56">kombinace_2!$X$3:$X$5</f>
        <v>Transparentní</v>
      </c>
      <c r="AD54" s="469" t="str">
        <f t="array" aca="1" ref="AD54:AD116" ca="1">IF(kombinace_2!FC2=TRUE,IF(OR(H8=kombinace_2!A13,H8=kombinace_2!A55),síťka_pro_zlatýprofil,IF(OR(H8=kombinace_2!A7,H8=kombinace_2!A51),síťka_pro_černýprofil,IF(OR(H8=kombinace_2!A4,H8=kombinace_2!A5,H8=kombinace_2!A53,H8=kombinace_2!A54),síťka_pro_bílýprofil,IF(OR(H8=kombinace_2!A3,H8=kombinace_2!A50),síťka_pro_eloxprofil)))),IF(OR(H8=kombinace_2!A15,H8=kombinace_2!A16,H8=kombinace_2!A18,H8=kombinace_2!A27,H8=kombinace_2!A28,H8=kombinace_2!A25,H8=kombinace_2!A26),_corleone,IF(H8="",_N1,INDIRECT(kombinace_2!S1))))</f>
        <v>Čiré - maximální rozměr 2550 x 1605 mm</v>
      </c>
    </row>
    <row r="55" spans="1:30" s="469" customFormat="1" ht="14.85" hidden="1" customHeight="1">
      <c r="A55" s="452"/>
      <c r="B55" s="469" t="str">
        <v>Imola zlatá</v>
      </c>
      <c r="H55" s="469" t="str">
        <v>Spodní dvířko</v>
      </c>
      <c r="K55" s="469" t="str">
        <v>Široký ALU rámeček</v>
      </c>
      <c r="P55" s="469" t="str">
        <v xml:space="preserve">Vpravo </v>
      </c>
      <c r="T55" s="469" t="str">
        <v>Kalené (termín dodání 3 týdny)</v>
      </c>
      <c r="U55" s="469">
        <v>2</v>
      </c>
      <c r="X55" s="469" t="str">
        <v>Bílá</v>
      </c>
      <c r="AD55" s="469" t="str">
        <f ca="1"/>
        <v>Optiwhite - maximální rozměr 2550 x 1605 mm</v>
      </c>
    </row>
    <row r="56" spans="1:30" s="469" customFormat="1" ht="14.85" hidden="1" customHeight="1">
      <c r="A56" s="452"/>
      <c r="B56" s="469" t="str">
        <v>Modena (elox.)</v>
      </c>
      <c r="H56" s="469" t="e">
        <v>#N/A</v>
      </c>
      <c r="K56" s="469" t="str">
        <v>MDF tloušťky 16 mm</v>
      </c>
      <c r="P56" s="469" t="str">
        <v>Nahoře</v>
      </c>
      <c r="T56" s="469" t="str">
        <v>Folie</v>
      </c>
      <c r="U56" s="469">
        <v>3</v>
      </c>
      <c r="X56" s="469" t="str">
        <v>Černá</v>
      </c>
      <c r="AD56" s="469" t="str">
        <f ca="1"/>
        <v>Satinato - maximální rozměr 2550 x 1605 mm</v>
      </c>
    </row>
    <row r="57" spans="1:30" s="469" customFormat="1" ht="14.85" hidden="1" customHeight="1">
      <c r="A57" s="452"/>
      <c r="B57" s="469" t="str">
        <v>Modena černá mat</v>
      </c>
      <c r="H57" s="469" t="e">
        <v>#N/A</v>
      </c>
      <c r="K57" s="469" t="str">
        <v>MDF tloušťky 18 mm</v>
      </c>
      <c r="P57" s="469" t="str">
        <v>Dole</v>
      </c>
      <c r="AD57" s="469" t="str">
        <f ca="1"/>
        <v>Satinato hnědé / Decormat Braz - maximální rozměr 2250 x 1605 mm</v>
      </c>
    </row>
    <row r="58" spans="1:30" s="469" customFormat="1" ht="14.85" hidden="1" customHeight="1">
      <c r="A58" s="452"/>
      <c r="B58" s="469" t="str">
        <v>Modena černá broušená</v>
      </c>
      <c r="H58" s="469" t="e">
        <v>#N/A</v>
      </c>
      <c r="K58" s="469" t="str">
        <v>DTDL tloušťky 18 mm</v>
      </c>
      <c r="AD58" s="469" t="str">
        <f ca="1"/>
        <v>Satinato grafit / Decormat grafit - maximální rozměr 2250 x 1605 mm</v>
      </c>
    </row>
    <row r="59" spans="1:30" s="469" customFormat="1" ht="14.85" hidden="1" customHeight="1">
      <c r="A59" s="452"/>
      <c r="B59" s="469" t="str">
        <v>Modena tmavá nerez br. (inox lija)</v>
      </c>
      <c r="H59" s="469" t="e">
        <v>#N/A</v>
      </c>
      <c r="T59" s="469">
        <f>IFERROR(VLOOKUP($H$21,$T$54:$U$56,2,0),0)</f>
        <v>0</v>
      </c>
      <c r="AD59" s="469" t="str">
        <f ca="1"/>
        <v>Screen - maximální rozměr 2540 x 1850 mm</v>
      </c>
    </row>
    <row r="60" spans="1:30" s="469" customFormat="1" ht="14.85" hidden="1" customHeight="1">
      <c r="A60" s="452"/>
      <c r="B60" s="469" t="str">
        <v>Palio (elox.)</v>
      </c>
      <c r="H60" s="469" t="e">
        <v>#N/A</v>
      </c>
      <c r="K60" s="469" t="b">
        <f>K56=K61</f>
        <v>0</v>
      </c>
      <c r="AD60" s="469" t="str">
        <f ca="1"/>
        <v>Venus VG10 - maximální rozměr 3210 x 2250 mm</v>
      </c>
    </row>
    <row r="61" spans="1:30" s="469" customFormat="1" ht="14.85" hidden="1" customHeight="1">
      <c r="A61" s="452"/>
      <c r="B61" s="469" t="str">
        <v>Palio černá mat</v>
      </c>
      <c r="H61" s="469" t="str">
        <f>'Translate&amp;Prices&amp;Logo'!$B$186</f>
        <v>Spodní dvířko</v>
      </c>
      <c r="K61" s="469" t="str">
        <f>'Translate&amp;Prices&amp;Logo'!$B$231</f>
        <v>2 Kusy (obě strany)</v>
      </c>
      <c r="AD61" s="469" t="str">
        <f ca="1"/>
        <v>Stopsol bronz - maximální rozměr 2250 x 1605 mm</v>
      </c>
    </row>
    <row r="62" spans="1:30" s="469" customFormat="1" ht="14.85" hidden="1" customHeight="1">
      <c r="A62" s="452"/>
      <c r="B62" s="469" t="str">
        <v>Pisa (elox.)</v>
      </c>
      <c r="AD62" s="469" t="str">
        <f ca="1"/>
        <v>Lakomat - maximální rozměr 2550 x 1605 mm</v>
      </c>
    </row>
    <row r="63" spans="1:30" s="469" customFormat="1" ht="14.85" hidden="1" customHeight="1">
      <c r="A63" s="452"/>
      <c r="B63" s="469" t="str">
        <v>Pisa bílá lesk</v>
      </c>
      <c r="AD63" s="469" t="str">
        <f ca="1"/>
        <v>Antisol bronz - maximální rozměr 2550 x 1605 mm</v>
      </c>
    </row>
    <row r="64" spans="1:30" s="469" customFormat="1" ht="14.85" hidden="1" customHeight="1">
      <c r="A64" s="452"/>
      <c r="B64" s="469" t="str">
        <v>Pisa bílá mat</v>
      </c>
      <c r="AD64" s="469" t="str">
        <f ca="1"/>
        <v>Antisol grafit - maximální rozměr 2550 x 1605 mm</v>
      </c>
    </row>
    <row r="65" spans="1:30" s="469" customFormat="1" ht="14.85" hidden="1" customHeight="1">
      <c r="A65" s="452"/>
      <c r="B65" s="469" t="str">
        <v>Pisa černá mat</v>
      </c>
      <c r="H65" s="317" t="str">
        <f>'rozpad závěsů bez prázdn. řádků'!$K$1</f>
        <v>křížová vrut</v>
      </c>
      <c r="I65" s="471">
        <v>6</v>
      </c>
      <c r="J65" s="316" t="e">
        <f>VLOOKUP($H$15,'rozpad závěsů bez prázdn. řádků'!$G:$X,I65,0)</f>
        <v>#N/A</v>
      </c>
      <c r="AD65" s="469" t="str">
        <f ca="1"/>
        <v>Zrcadlo - maximální rozměr 2550 x 1605 mm</v>
      </c>
    </row>
    <row r="66" spans="1:30" s="469" customFormat="1" ht="14.85" hidden="1" customHeight="1">
      <c r="A66" s="452"/>
      <c r="B66" s="469" t="str">
        <v>Pisa zlatá</v>
      </c>
      <c r="H66" s="317" t="str">
        <f>'rozpad závěsů bez prázdn. řádků'!$M$1</f>
        <v>křížová vrut (excentr)</v>
      </c>
      <c r="I66" s="471">
        <v>8</v>
      </c>
      <c r="J66" s="316" t="e">
        <f>VLOOKUP($H$15,'rozpad závěsů bez prázdn. řádků'!$G:$X,I66,0)</f>
        <v>#N/A</v>
      </c>
      <c r="AD66" s="469" t="str">
        <f ca="1"/>
        <v>Zrcadlo hnědé - maximální rozměr 2250 x 1605 mm</v>
      </c>
    </row>
    <row r="67" spans="1:30" s="469" customFormat="1" ht="14.85" hidden="1" customHeight="1">
      <c r="A67" s="452"/>
      <c r="B67" s="469">
        <v>0</v>
      </c>
      <c r="H67" s="317" t="str">
        <f>'rozpad závěsů bez prázdn. řádků'!$O$1</f>
        <v>křížová euro</v>
      </c>
      <c r="I67" s="471">
        <v>10</v>
      </c>
      <c r="J67" s="316" t="e">
        <f>VLOOKUP($H$15,'rozpad závěsů bez prázdn. řádků'!$G:$X,I67,0)</f>
        <v>#N/A</v>
      </c>
      <c r="AD67" s="469" t="str">
        <f ca="1"/>
        <v>Zrcadlo grafit - maximální rozměr 2550 x 1605 mm</v>
      </c>
    </row>
    <row r="68" spans="1:30" s="469" customFormat="1" ht="14.85" hidden="1" customHeight="1">
      <c r="A68" s="452"/>
      <c r="B68" s="469" t="str">
        <v>Rocca (elox.)</v>
      </c>
      <c r="H68" s="317" t="str">
        <f>'rozpad závěsů bez prázdn. řádků'!$Q$1</f>
        <v>křížová hmoždinka</v>
      </c>
      <c r="I68" s="471">
        <v>12</v>
      </c>
      <c r="J68" s="316" t="e">
        <f>VLOOKUP($H$15,'rozpad závěsů bez prázdn. řádků'!$G:$X,I68,0)</f>
        <v>#N/A</v>
      </c>
      <c r="AD68" s="469" t="str">
        <f ca="1"/>
        <v>Krizet - maximální rozměr 2130 x 1650 mm</v>
      </c>
    </row>
    <row r="69" spans="1:30" s="469" customFormat="1" ht="14.85" hidden="1" customHeight="1">
      <c r="A69" s="452"/>
      <c r="B69" s="469">
        <v>0</v>
      </c>
      <c r="H69" s="317" t="str">
        <f>'rozpad závěsů bez prázdn. řádků'!$S$1</f>
        <v>přímá vrut</v>
      </c>
      <c r="I69" s="471">
        <v>14</v>
      </c>
      <c r="J69" s="316" t="e">
        <f>VLOOKUP($H$15,'rozpad závěsů bez prázdn. řádků'!$G:$X,I69,0)</f>
        <v>#N/A</v>
      </c>
      <c r="AD69" s="469" t="str">
        <f ca="1"/>
        <v>Master (Carre) - maximální rozměr 2000 x 1605 mm</v>
      </c>
    </row>
    <row r="70" spans="1:30" s="469" customFormat="1" ht="14.85" hidden="1" customHeight="1">
      <c r="A70" s="452"/>
      <c r="B70" s="469" t="str">
        <v>Rocca černá mat</v>
      </c>
      <c r="H70" s="317" t="str">
        <f>'rozpad závěsů bez prázdn. řádků'!$U$1</f>
        <v>přímá euro</v>
      </c>
      <c r="I70" s="471">
        <v>16</v>
      </c>
      <c r="J70" s="316" t="e">
        <f>VLOOKUP($H$15,'rozpad závěsů bez prázdn. řádků'!$G:$X,I70,0)</f>
        <v>#N/A</v>
      </c>
      <c r="AD70" s="469" t="str">
        <f ca="1"/>
        <v>Master  Lens  - maximální rozměr 2000 x 1605 mm</v>
      </c>
    </row>
    <row r="71" spans="1:30" s="469" customFormat="1" ht="14.85" hidden="1" customHeight="1">
      <c r="A71" s="452"/>
      <c r="B71" s="469" t="str">
        <v>Siena (elox.)</v>
      </c>
      <c r="H71" s="317" t="str">
        <f>'rozpad závěsů bez prázdn. řádků'!$W$1</f>
        <v>přímá hmoždinka</v>
      </c>
      <c r="I71" s="471">
        <v>18</v>
      </c>
      <c r="J71" s="316" t="e">
        <f>VLOOKUP($H$15,'rozpad závěsů bez prázdn. řádků'!$G:$X,I71,0)</f>
        <v>#N/A</v>
      </c>
      <c r="AD71" s="469" t="str">
        <f ca="1"/>
        <v>Master  Ligne - maximální rozměr 2000 x 1605 mm</v>
      </c>
    </row>
    <row r="72" spans="1:30" s="469" customFormat="1" ht="14.85" hidden="1" customHeight="1">
      <c r="A72" s="452"/>
      <c r="B72" s="469" t="str">
        <v>Siena černá mat</v>
      </c>
      <c r="AD72" s="469" t="str">
        <f ca="1"/>
        <v>Master  Point - maximální rozměr 2000 x 1605 mm</v>
      </c>
    </row>
    <row r="73" spans="1:30" s="469" customFormat="1" ht="14.85" hidden="1" customHeight="1">
      <c r="A73" s="452"/>
      <c r="B73" s="469" t="str">
        <v>Verona (elox.)</v>
      </c>
      <c r="AD73" s="469" t="str">
        <f ca="1"/>
        <v>Master  Shine - maximální rozměr 2000 x 1605 mm</v>
      </c>
    </row>
    <row r="74" spans="1:30" s="469" customFormat="1" ht="14.85" hidden="1" customHeight="1">
      <c r="A74" s="452"/>
      <c r="B74" s="469" t="str">
        <v>Verona broušený hliník</v>
      </c>
      <c r="AD74" s="469" t="str">
        <f ca="1"/>
        <v>MASTER SOFT - maximální rozměr 2000 x 1605 mm</v>
      </c>
    </row>
    <row r="75" spans="1:30" s="469" customFormat="1" ht="14.85" hidden="1" customHeight="1">
      <c r="A75" s="452"/>
      <c r="B75" s="469" t="str">
        <v>Verona černá mat</v>
      </c>
      <c r="AD75" s="469" t="str">
        <f ca="1"/>
        <v>MASTER FLEX - maximální rozměr 2000 x 1605 mm</v>
      </c>
    </row>
    <row r="76" spans="1:30" s="469" customFormat="1" ht="14.85" hidden="1" customHeight="1">
      <c r="A76" s="452"/>
      <c r="B76" s="469" t="str">
        <v>Verona černá lesk</v>
      </c>
      <c r="AD76" s="469" t="str">
        <f ca="1"/>
        <v>VISIOSUN - maximální rozměr 3210 x 2000 mm</v>
      </c>
    </row>
    <row r="77" spans="1:30" s="469" customFormat="1" ht="14.85" hidden="1" customHeight="1">
      <c r="A77" s="452"/>
      <c r="B77" s="469" t="str">
        <v>Verona hnědá</v>
      </c>
      <c r="AD77" s="469" t="str">
        <f ca="1"/>
        <v>FLUTES - maximální rozměr 2540 x 1610 mm</v>
      </c>
    </row>
    <row r="78" spans="1:30" s="469" customFormat="1" ht="14.85" hidden="1" customHeight="1">
      <c r="A78" s="452"/>
      <c r="B78" s="469" t="str">
        <v>Verona champagne</v>
      </c>
      <c r="AD78" s="469" t="str">
        <f ca="1"/>
        <v>Lacobel RAL 1013 - maximální rozměr 2550 x 1605 mm</v>
      </c>
    </row>
    <row r="79" spans="1:30" s="469" customFormat="1" ht="14.85" hidden="1" customHeight="1">
      <c r="A79" s="452"/>
      <c r="B79" s="469" t="str">
        <v>Verona tmavá nerez broušená</v>
      </c>
      <c r="AD79" s="469" t="str">
        <f ca="1"/>
        <v>Lacobel RAL 1014 - maximální rozměr 2550 x 1605 mm</v>
      </c>
    </row>
    <row r="80" spans="1:30" s="469" customFormat="1" ht="14.85" hidden="1" customHeight="1">
      <c r="A80" s="452"/>
      <c r="B80" s="469" t="str">
        <v>Verona světlá nerez (Acier grata)</v>
      </c>
      <c r="AD80" s="469" t="str">
        <f ca="1"/>
        <v>Lacobel RAL 1015 - maximální rozměr 2550 x 1605 mm</v>
      </c>
    </row>
    <row r="81" spans="1:38" s="469" customFormat="1" ht="14.85" hidden="1" customHeight="1">
      <c r="A81" s="452"/>
      <c r="B81" s="469" t="str">
        <v>Verona zlatá</v>
      </c>
      <c r="AD81" s="469" t="str">
        <f ca="1"/>
        <v>Lacobel RAL 2001 - maximální rozměr 2550 x 1605 mm</v>
      </c>
    </row>
    <row r="82" spans="1:38" s="469" customFormat="1" ht="14.85" hidden="1" customHeight="1">
      <c r="A82" s="452"/>
      <c r="B82" s="469" t="str">
        <v>Verona zlatá broušená</v>
      </c>
      <c r="AD82" s="469" t="str">
        <f ca="1"/>
        <v>Lacobel RAL 3004 - maximální rozměr 2550 x 1605 mm</v>
      </c>
    </row>
    <row r="83" spans="1:38" ht="14.85" hidden="1" customHeight="1">
      <c r="B83" s="450" t="str">
        <v>Vivaro (elox.)</v>
      </c>
      <c r="C83" s="452"/>
      <c r="D83" s="452"/>
      <c r="E83" s="452"/>
      <c r="F83" s="452"/>
      <c r="G83" s="452"/>
      <c r="H83" s="452"/>
      <c r="I83" s="452"/>
      <c r="J83" s="452"/>
      <c r="K83" s="452"/>
      <c r="L83" s="452"/>
      <c r="M83" s="452"/>
      <c r="N83" s="452"/>
      <c r="O83" s="452"/>
      <c r="P83" s="452"/>
      <c r="Q83" s="452"/>
      <c r="R83" s="452"/>
      <c r="S83" s="452"/>
      <c r="T83" s="461"/>
      <c r="U83" s="461"/>
      <c r="V83" s="461"/>
      <c r="W83" s="461"/>
      <c r="X83" s="461"/>
      <c r="Y83" s="462"/>
      <c r="Z83" s="462"/>
      <c r="AA83" s="462"/>
      <c r="AB83" s="462"/>
      <c r="AC83" s="460"/>
      <c r="AD83" s="460" t="str">
        <f ca="1"/>
        <v>Lacobel RAL 4006 - maximální rozměr 2550 x 1605 mm</v>
      </c>
      <c r="AE83" s="460"/>
      <c r="AF83" s="460"/>
      <c r="AG83" s="460"/>
      <c r="AH83" s="460"/>
      <c r="AI83" s="462"/>
      <c r="AJ83" s="462"/>
      <c r="AK83" s="462"/>
      <c r="AL83" s="462"/>
    </row>
    <row r="84" spans="1:38" ht="14.85" hidden="1" customHeight="1">
      <c r="B84" s="450" t="str">
        <v>Vivaro černá mat</v>
      </c>
      <c r="C84" s="452"/>
      <c r="D84" s="452"/>
      <c r="E84" s="452"/>
      <c r="F84" s="452"/>
      <c r="G84" s="452"/>
      <c r="H84" s="452"/>
      <c r="I84" s="452"/>
      <c r="J84" s="452"/>
      <c r="K84" s="452"/>
      <c r="L84" s="452"/>
      <c r="M84" s="452"/>
      <c r="N84" s="452"/>
      <c r="O84" s="452"/>
      <c r="P84" s="452"/>
      <c r="Q84" s="452"/>
      <c r="R84" s="452"/>
      <c r="S84" s="452"/>
      <c r="T84" s="461"/>
      <c r="U84" s="461"/>
      <c r="V84" s="461"/>
      <c r="W84" s="461"/>
      <c r="X84" s="461"/>
      <c r="Y84" s="462"/>
      <c r="Z84" s="462"/>
      <c r="AA84" s="462"/>
      <c r="AB84" s="462"/>
      <c r="AC84" s="460"/>
      <c r="AD84" s="460" t="str">
        <f ca="1"/>
        <v>Lacobel RAL 5002 - maximální rozměr 2550 x 1605 mm</v>
      </c>
      <c r="AE84" s="460"/>
      <c r="AF84" s="460"/>
      <c r="AG84" s="460"/>
      <c r="AH84" s="460"/>
      <c r="AI84" s="462"/>
      <c r="AJ84" s="462"/>
      <c r="AK84" s="462"/>
      <c r="AL84" s="462"/>
    </row>
    <row r="85" spans="1:38" ht="14.85" hidden="1" customHeight="1">
      <c r="B85" s="450" t="str">
        <v>Vivaro tmavá nerez br. (inox lija)</v>
      </c>
      <c r="C85" s="452"/>
      <c r="D85" s="452"/>
      <c r="E85" s="452"/>
      <c r="F85" s="452"/>
      <c r="G85" s="452"/>
      <c r="H85" s="452"/>
      <c r="I85" s="452"/>
      <c r="J85" s="452"/>
      <c r="K85" s="452"/>
      <c r="L85" s="452"/>
      <c r="M85" s="452"/>
      <c r="N85" s="452"/>
      <c r="O85" s="452"/>
      <c r="P85" s="452"/>
      <c r="Q85" s="452"/>
      <c r="R85" s="452"/>
      <c r="S85" s="452"/>
      <c r="T85" s="461"/>
      <c r="U85" s="461"/>
      <c r="V85" s="461"/>
      <c r="W85" s="461"/>
      <c r="X85" s="461"/>
      <c r="Y85" s="462"/>
      <c r="Z85" s="462"/>
      <c r="AA85" s="462"/>
      <c r="AB85" s="462"/>
      <c r="AC85" s="460"/>
      <c r="AD85" s="460" t="str">
        <f ca="1"/>
        <v>Lacobel RAL 7035 - maximální rozměr 2550 x 1605 mm</v>
      </c>
      <c r="AE85" s="460"/>
      <c r="AF85" s="460"/>
      <c r="AG85" s="460"/>
      <c r="AH85" s="460"/>
      <c r="AI85" s="462"/>
      <c r="AJ85" s="462"/>
      <c r="AK85" s="462"/>
      <c r="AL85" s="462"/>
    </row>
    <row r="86" spans="1:38" ht="14.85" hidden="1" customHeight="1">
      <c r="B86" s="450" t="str">
        <v>Vivaro bílá mat</v>
      </c>
      <c r="C86" s="452"/>
      <c r="D86" s="452"/>
      <c r="E86" s="452"/>
      <c r="F86" s="452"/>
      <c r="G86" s="452"/>
      <c r="H86" s="452"/>
      <c r="I86" s="452"/>
      <c r="J86" s="452"/>
      <c r="K86" s="452"/>
      <c r="L86" s="452"/>
      <c r="M86" s="452"/>
      <c r="N86" s="452"/>
      <c r="O86" s="452"/>
      <c r="P86" s="452"/>
      <c r="Q86" s="452"/>
      <c r="R86" s="452"/>
      <c r="S86" s="452"/>
      <c r="T86" s="461"/>
      <c r="U86" s="461"/>
      <c r="V86" s="461"/>
      <c r="W86" s="461"/>
      <c r="X86" s="461"/>
      <c r="Y86" s="462"/>
      <c r="Z86" s="462"/>
      <c r="AA86" s="462"/>
      <c r="AB86" s="462"/>
      <c r="AC86" s="460"/>
      <c r="AD86" s="460" t="str">
        <f ca="1"/>
        <v>Lacobel RAL 8017 - maximální rozměr 2550 x 1605 mm</v>
      </c>
      <c r="AE86" s="460"/>
      <c r="AF86" s="460"/>
      <c r="AG86" s="460"/>
      <c r="AH86" s="460"/>
      <c r="AI86" s="462"/>
      <c r="AJ86" s="462"/>
      <c r="AK86" s="462"/>
      <c r="AL86" s="462"/>
    </row>
    <row r="87" spans="1:38" ht="14.85" hidden="1" customHeight="1">
      <c r="B87" s="450" t="str">
        <v>Vivaro bílá lesk</v>
      </c>
      <c r="C87" s="452"/>
      <c r="D87" s="452"/>
      <c r="E87" s="452"/>
      <c r="F87" s="452"/>
      <c r="G87" s="452"/>
      <c r="H87" s="452"/>
      <c r="I87" s="452"/>
      <c r="J87" s="452"/>
      <c r="K87" s="452"/>
      <c r="L87" s="452"/>
      <c r="M87" s="452"/>
      <c r="N87" s="452"/>
      <c r="O87" s="452"/>
      <c r="P87" s="452"/>
      <c r="Q87" s="452"/>
      <c r="R87" s="452"/>
      <c r="S87" s="452"/>
      <c r="T87" s="461"/>
      <c r="U87" s="461"/>
      <c r="V87" s="461"/>
      <c r="W87" s="461"/>
      <c r="X87" s="461"/>
      <c r="Y87" s="462"/>
      <c r="Z87" s="462"/>
      <c r="AA87" s="462"/>
      <c r="AB87" s="462"/>
      <c r="AC87" s="460"/>
      <c r="AD87" s="460" t="str">
        <f ca="1"/>
        <v>Lacobel RAL 9003 - maximální rozměr 2550 x 1605 mm</v>
      </c>
      <c r="AE87" s="460"/>
      <c r="AF87" s="460"/>
      <c r="AG87" s="460"/>
      <c r="AH87" s="460"/>
      <c r="AI87" s="462"/>
      <c r="AJ87" s="462"/>
      <c r="AK87" s="462"/>
      <c r="AL87" s="462"/>
    </row>
    <row r="88" spans="1:38" ht="14.85" hidden="1" customHeight="1">
      <c r="B88" s="450" t="str">
        <v>Vivaro zlatá</v>
      </c>
      <c r="C88" s="452"/>
      <c r="D88" s="452"/>
      <c r="E88" s="452"/>
      <c r="F88" s="452"/>
      <c r="G88" s="452"/>
      <c r="H88" s="452"/>
      <c r="I88" s="452"/>
      <c r="J88" s="452"/>
      <c r="K88" s="452"/>
      <c r="L88" s="452"/>
      <c r="M88" s="452"/>
      <c r="N88" s="452"/>
      <c r="O88" s="452"/>
      <c r="P88" s="452"/>
      <c r="Q88" s="452"/>
      <c r="R88" s="452"/>
      <c r="S88" s="452"/>
      <c r="T88" s="461"/>
      <c r="U88" s="461"/>
      <c r="V88" s="461"/>
      <c r="W88" s="461"/>
      <c r="X88" s="461"/>
      <c r="Y88" s="462"/>
      <c r="Z88" s="462"/>
      <c r="AA88" s="462"/>
      <c r="AB88" s="462"/>
      <c r="AC88" s="460"/>
      <c r="AD88" s="460" t="str">
        <f ca="1"/>
        <v>Lacobel RAL 9005 - maximální rozměr 2550 x 1605 mm</v>
      </c>
      <c r="AE88" s="460"/>
      <c r="AF88" s="460"/>
      <c r="AG88" s="460"/>
      <c r="AH88" s="460"/>
      <c r="AI88" s="462"/>
      <c r="AJ88" s="462"/>
      <c r="AK88" s="462"/>
      <c r="AL88" s="462"/>
    </row>
    <row r="89" spans="1:38" ht="14.85" hidden="1" customHeight="1">
      <c r="B89" s="450" t="str">
        <v>Vivaro zlatá broušená</v>
      </c>
      <c r="C89" s="452"/>
      <c r="D89" s="452"/>
      <c r="E89" s="452"/>
      <c r="F89" s="452"/>
      <c r="G89" s="452"/>
      <c r="H89" s="452"/>
      <c r="I89" s="452"/>
      <c r="J89" s="452"/>
      <c r="K89" s="452"/>
      <c r="L89" s="452"/>
      <c r="M89" s="452"/>
      <c r="N89" s="452"/>
      <c r="O89" s="452"/>
      <c r="P89" s="452"/>
      <c r="Q89" s="452"/>
      <c r="R89" s="452"/>
      <c r="S89" s="452"/>
      <c r="T89" s="461"/>
      <c r="U89" s="461"/>
      <c r="V89" s="461"/>
      <c r="W89" s="461"/>
      <c r="X89" s="461"/>
      <c r="Y89" s="462"/>
      <c r="Z89" s="462"/>
      <c r="AA89" s="462"/>
      <c r="AB89" s="462"/>
      <c r="AC89" s="460"/>
      <c r="AD89" s="460" t="str">
        <f ca="1"/>
        <v>Lacobel RAL 9006 - maximální rozměr 2550 x 1605 mm</v>
      </c>
      <c r="AE89" s="460"/>
      <c r="AF89" s="460"/>
      <c r="AG89" s="460"/>
      <c r="AH89" s="460"/>
      <c r="AI89" s="462"/>
      <c r="AJ89" s="462"/>
      <c r="AK89" s="462"/>
      <c r="AL89" s="462"/>
    </row>
    <row r="90" spans="1:38" ht="14.85" hidden="1" customHeight="1">
      <c r="B90" s="450" t="str">
        <v>Siena elox (Vlevo a vpravo) + Varna elox (Nahoře a dole)</v>
      </c>
      <c r="C90" s="452"/>
      <c r="D90" s="452"/>
      <c r="E90" s="452"/>
      <c r="F90" s="452"/>
      <c r="G90" s="452"/>
      <c r="H90" s="452"/>
      <c r="I90" s="452"/>
      <c r="J90" s="452"/>
      <c r="K90" s="452"/>
      <c r="L90" s="452"/>
      <c r="M90" s="452"/>
      <c r="N90" s="452"/>
      <c r="O90" s="452"/>
      <c r="P90" s="452"/>
      <c r="Q90" s="452"/>
      <c r="R90" s="452"/>
      <c r="S90" s="452"/>
      <c r="T90" s="461"/>
      <c r="U90" s="461"/>
      <c r="V90" s="461"/>
      <c r="W90" s="461"/>
      <c r="X90" s="461"/>
      <c r="Y90" s="462"/>
      <c r="Z90" s="462"/>
      <c r="AA90" s="462"/>
      <c r="AB90" s="462"/>
      <c r="AC90" s="460"/>
      <c r="AD90" s="460" t="str">
        <f ca="1"/>
        <v>Lacobel RAL 9007 - maximální rozměr 2550 x 1605 mm</v>
      </c>
      <c r="AE90" s="460"/>
      <c r="AF90" s="460"/>
      <c r="AG90" s="460"/>
      <c r="AH90" s="460"/>
      <c r="AI90" s="462"/>
      <c r="AJ90" s="462"/>
      <c r="AK90" s="462"/>
      <c r="AL90" s="462"/>
    </row>
    <row r="91" spans="1:38" ht="14.85" hidden="1" customHeight="1">
      <c r="B91" s="450" t="str">
        <v>Siena černá (Vlevo a vpravo) + Varna černá (Nahoře a dole)</v>
      </c>
      <c r="C91" s="452"/>
      <c r="D91" s="452"/>
      <c r="E91" s="452"/>
      <c r="F91" s="452"/>
      <c r="G91" s="452"/>
      <c r="H91" s="452"/>
      <c r="I91" s="452"/>
      <c r="J91" s="452"/>
      <c r="K91" s="452"/>
      <c r="L91" s="452"/>
      <c r="M91" s="452"/>
      <c r="N91" s="452"/>
      <c r="O91" s="452"/>
      <c r="P91" s="452"/>
      <c r="Q91" s="452"/>
      <c r="R91" s="452"/>
      <c r="S91" s="452"/>
      <c r="T91" s="461"/>
      <c r="U91" s="461"/>
      <c r="V91" s="461"/>
      <c r="W91" s="461"/>
      <c r="X91" s="461"/>
      <c r="Y91" s="462"/>
      <c r="Z91" s="462"/>
      <c r="AA91" s="462"/>
      <c r="AB91" s="462"/>
      <c r="AC91" s="460"/>
      <c r="AD91" s="460" t="str">
        <f ca="1"/>
        <v>Lacobel RAL 9010 - maximální rozměr 2550 x 1605 mm</v>
      </c>
      <c r="AE91" s="460"/>
      <c r="AF91" s="460"/>
      <c r="AG91" s="460"/>
      <c r="AH91" s="460"/>
      <c r="AI91" s="462"/>
      <c r="AJ91" s="462"/>
      <c r="AK91" s="462"/>
      <c r="AL91" s="462"/>
    </row>
    <row r="92" spans="1:38" ht="14.85" hidden="1" customHeight="1">
      <c r="B92" s="450" t="str">
        <v>Palio elox (Vlevo a vpravo) + Varna elox (Nahoře a dole)</v>
      </c>
      <c r="C92" s="452"/>
      <c r="D92" s="452"/>
      <c r="E92" s="452"/>
      <c r="F92" s="452"/>
      <c r="G92" s="452"/>
      <c r="H92" s="452"/>
      <c r="I92" s="452"/>
      <c r="J92" s="452"/>
      <c r="K92" s="452"/>
      <c r="L92" s="452"/>
      <c r="M92" s="452"/>
      <c r="N92" s="452"/>
      <c r="O92" s="452"/>
      <c r="P92" s="452"/>
      <c r="Q92" s="452"/>
      <c r="R92" s="452"/>
      <c r="S92" s="452"/>
      <c r="T92" s="461"/>
      <c r="U92" s="461"/>
      <c r="V92" s="461"/>
      <c r="W92" s="461"/>
      <c r="X92" s="461"/>
      <c r="Y92" s="462"/>
      <c r="Z92" s="462"/>
      <c r="AA92" s="462"/>
      <c r="AB92" s="462"/>
      <c r="AC92" s="460"/>
      <c r="AD92" s="460" t="str">
        <f ca="1"/>
        <v>Lacobel RAL 0128 - maximální rozměr 2550 x 1605 mm</v>
      </c>
      <c r="AE92" s="460"/>
      <c r="AF92" s="460"/>
      <c r="AG92" s="460"/>
      <c r="AH92" s="460"/>
      <c r="AI92" s="462"/>
      <c r="AJ92" s="462"/>
      <c r="AK92" s="462"/>
      <c r="AL92" s="462"/>
    </row>
    <row r="93" spans="1:38" ht="14.85" hidden="1" customHeight="1">
      <c r="B93" s="450" t="str">
        <v>Palio černá (Vlevo a vpravo) + Varna černá (Nahoře a dole)</v>
      </c>
      <c r="C93" s="452"/>
      <c r="D93" s="452"/>
      <c r="E93" s="452"/>
      <c r="F93" s="452"/>
      <c r="G93" s="452"/>
      <c r="H93" s="452"/>
      <c r="I93" s="452"/>
      <c r="J93" s="452"/>
      <c r="K93" s="452"/>
      <c r="L93" s="452"/>
      <c r="M93" s="452"/>
      <c r="N93" s="452"/>
      <c r="O93" s="452"/>
      <c r="P93" s="452"/>
      <c r="Q93" s="452"/>
      <c r="R93" s="452"/>
      <c r="S93" s="452"/>
      <c r="T93" s="461"/>
      <c r="U93" s="461"/>
      <c r="V93" s="461"/>
      <c r="W93" s="461"/>
      <c r="X93" s="461"/>
      <c r="Y93" s="462"/>
      <c r="Z93" s="462"/>
      <c r="AA93" s="462"/>
      <c r="AB93" s="462"/>
      <c r="AC93" s="460"/>
      <c r="AD93" s="460" t="str">
        <f ca="1"/>
        <v>Lacobel RAL 0327 - maximální rozměr 2550 x 1605 mm</v>
      </c>
      <c r="AE93" s="460"/>
      <c r="AF93" s="460"/>
      <c r="AG93" s="460"/>
      <c r="AH93" s="460"/>
      <c r="AI93" s="462"/>
      <c r="AJ93" s="462"/>
      <c r="AK93" s="462"/>
      <c r="AL93" s="462"/>
    </row>
    <row r="94" spans="1:38" ht="14.85" hidden="1" customHeight="1">
      <c r="B94" s="450" t="str">
        <v>Rocca elox (Vlevo a vpravo) + Varna elox (Nahoře a dole)</v>
      </c>
      <c r="C94" s="452"/>
      <c r="D94" s="452"/>
      <c r="E94" s="452"/>
      <c r="F94" s="452"/>
      <c r="G94" s="452"/>
      <c r="H94" s="452"/>
      <c r="I94" s="452"/>
      <c r="J94" s="452"/>
      <c r="K94" s="452"/>
      <c r="L94" s="452"/>
      <c r="M94" s="452"/>
      <c r="N94" s="452"/>
      <c r="O94" s="452"/>
      <c r="P94" s="452"/>
      <c r="Q94" s="452"/>
      <c r="R94" s="452"/>
      <c r="S94" s="452"/>
      <c r="T94" s="461"/>
      <c r="U94" s="461"/>
      <c r="V94" s="461"/>
      <c r="W94" s="461"/>
      <c r="X94" s="461"/>
      <c r="Y94" s="462"/>
      <c r="Z94" s="462"/>
      <c r="AA94" s="462"/>
      <c r="AB94" s="462"/>
      <c r="AC94" s="460"/>
      <c r="AD94" s="460">
        <f ca="1"/>
        <v>0</v>
      </c>
      <c r="AE94" s="460"/>
      <c r="AF94" s="460"/>
      <c r="AG94" s="460"/>
      <c r="AH94" s="460"/>
      <c r="AI94" s="462"/>
      <c r="AJ94" s="462"/>
      <c r="AK94" s="462"/>
      <c r="AL94" s="462"/>
    </row>
    <row r="95" spans="1:38" ht="14.85" hidden="1" customHeight="1">
      <c r="B95" s="450" t="str">
        <v>Rocca černá (Vlevo a vpravo) + Varna černá (Nahoře a dole)</v>
      </c>
      <c r="C95" s="452"/>
      <c r="D95" s="452"/>
      <c r="E95" s="452"/>
      <c r="F95" s="452"/>
      <c r="G95" s="452"/>
      <c r="H95" s="452"/>
      <c r="I95" s="452"/>
      <c r="J95" s="452"/>
      <c r="K95" s="452"/>
      <c r="L95" s="452"/>
      <c r="M95" s="452"/>
      <c r="N95" s="452"/>
      <c r="O95" s="452"/>
      <c r="P95" s="452"/>
      <c r="Q95" s="452"/>
      <c r="R95" s="452"/>
      <c r="S95" s="452"/>
      <c r="T95" s="461"/>
      <c r="U95" s="461"/>
      <c r="V95" s="461"/>
      <c r="W95" s="461"/>
      <c r="X95" s="461"/>
      <c r="Y95" s="462"/>
      <c r="Z95" s="462"/>
      <c r="AA95" s="462"/>
      <c r="AB95" s="462"/>
      <c r="AC95" s="460"/>
      <c r="AD95" s="460">
        <f ca="1"/>
        <v>0</v>
      </c>
      <c r="AE95" s="460"/>
      <c r="AF95" s="460"/>
      <c r="AG95" s="460"/>
      <c r="AH95" s="460"/>
      <c r="AI95" s="462"/>
      <c r="AJ95" s="462"/>
      <c r="AK95" s="462"/>
      <c r="AL95" s="462"/>
    </row>
    <row r="96" spans="1:38" ht="14.85" hidden="1" customHeight="1">
      <c r="B96" s="450">
        <v>0</v>
      </c>
      <c r="C96" s="452"/>
      <c r="D96" s="452"/>
      <c r="E96" s="452"/>
      <c r="F96" s="452"/>
      <c r="G96" s="452"/>
      <c r="H96" s="452"/>
      <c r="I96" s="452"/>
      <c r="J96" s="452"/>
      <c r="K96" s="452"/>
      <c r="L96" s="452"/>
      <c r="M96" s="452"/>
      <c r="N96" s="452"/>
      <c r="O96" s="452"/>
      <c r="P96" s="452"/>
      <c r="Q96" s="452"/>
      <c r="R96" s="452"/>
      <c r="S96" s="452"/>
      <c r="T96" s="461"/>
      <c r="U96" s="461"/>
      <c r="V96" s="461"/>
      <c r="W96" s="461"/>
      <c r="X96" s="461"/>
      <c r="Y96" s="462"/>
      <c r="Z96" s="462"/>
      <c r="AA96" s="462"/>
      <c r="AB96" s="462"/>
      <c r="AC96" s="460"/>
      <c r="AD96" s="460" t="str">
        <f ca="1"/>
        <v>Lacobel RAL 0667 - maximální rozměr 2550 x 1605 mm</v>
      </c>
      <c r="AE96" s="460"/>
      <c r="AF96" s="460"/>
      <c r="AG96" s="460"/>
      <c r="AH96" s="460"/>
      <c r="AI96" s="462"/>
      <c r="AJ96" s="462"/>
      <c r="AK96" s="462"/>
      <c r="AL96" s="462"/>
    </row>
    <row r="97" spans="2:38" ht="14.85" hidden="1" customHeight="1">
      <c r="B97" s="450" t="str">
        <v>ROMA černá mat</v>
      </c>
      <c r="C97" s="452"/>
      <c r="D97" s="452"/>
      <c r="E97" s="452"/>
      <c r="F97" s="452"/>
      <c r="G97" s="452"/>
      <c r="H97" s="452"/>
      <c r="I97" s="452"/>
      <c r="J97" s="452"/>
      <c r="K97" s="452"/>
      <c r="L97" s="452"/>
      <c r="M97" s="452"/>
      <c r="N97" s="452"/>
      <c r="O97" s="452"/>
      <c r="P97" s="452"/>
      <c r="Q97" s="452"/>
      <c r="R97" s="452"/>
      <c r="S97" s="452"/>
      <c r="T97" s="461"/>
      <c r="U97" s="461"/>
      <c r="V97" s="461"/>
      <c r="W97" s="461"/>
      <c r="X97" s="461"/>
      <c r="Y97" s="462"/>
      <c r="Z97" s="462"/>
      <c r="AA97" s="462"/>
      <c r="AB97" s="462"/>
      <c r="AC97" s="460"/>
      <c r="AD97" s="460" t="str">
        <f ca="1"/>
        <v>Lacobel RAL 1164 - maximální rozměr 2550 x 1605 mm</v>
      </c>
      <c r="AE97" s="460"/>
      <c r="AF97" s="460"/>
      <c r="AG97" s="460"/>
      <c r="AH97" s="460"/>
      <c r="AI97" s="462"/>
      <c r="AJ97" s="462"/>
      <c r="AK97" s="462"/>
      <c r="AL97" s="462"/>
    </row>
    <row r="98" spans="2:38" ht="14.85" hidden="1" customHeight="1">
      <c r="B98" s="450" t="str">
        <v>ROMA champagne mat</v>
      </c>
      <c r="C98" s="452"/>
      <c r="D98" s="452"/>
      <c r="E98" s="452"/>
      <c r="F98" s="452"/>
      <c r="G98" s="452"/>
      <c r="H98" s="452"/>
      <c r="I98" s="452"/>
      <c r="J98" s="452"/>
      <c r="K98" s="452"/>
      <c r="L98" s="452"/>
      <c r="M98" s="452"/>
      <c r="N98" s="452"/>
      <c r="O98" s="452"/>
      <c r="P98" s="452"/>
      <c r="Q98" s="452"/>
      <c r="R98" s="452"/>
      <c r="S98" s="452"/>
      <c r="T98" s="461"/>
      <c r="U98" s="461"/>
      <c r="V98" s="461"/>
      <c r="W98" s="461"/>
      <c r="X98" s="461"/>
      <c r="Y98" s="462"/>
      <c r="Z98" s="462"/>
      <c r="AA98" s="462"/>
      <c r="AB98" s="462"/>
      <c r="AC98" s="460"/>
      <c r="AD98" s="460">
        <f ca="1"/>
        <v>0</v>
      </c>
      <c r="AE98" s="460"/>
      <c r="AF98" s="460"/>
      <c r="AG98" s="460"/>
      <c r="AH98" s="460"/>
      <c r="AI98" s="462"/>
      <c r="AJ98" s="462"/>
      <c r="AK98" s="462"/>
      <c r="AL98" s="462"/>
    </row>
    <row r="99" spans="2:38" ht="14.85" hidden="1" customHeight="1">
      <c r="B99" s="450" t="str">
        <v>ROMA GRIP černá mat</v>
      </c>
      <c r="C99" s="452"/>
      <c r="D99" s="452"/>
      <c r="E99" s="452"/>
      <c r="F99" s="452"/>
      <c r="G99" s="452"/>
      <c r="H99" s="452"/>
      <c r="I99" s="452"/>
      <c r="J99" s="452"/>
      <c r="K99" s="452"/>
      <c r="L99" s="452"/>
      <c r="M99" s="452"/>
      <c r="N99" s="452"/>
      <c r="O99" s="452"/>
      <c r="P99" s="452"/>
      <c r="Q99" s="452"/>
      <c r="R99" s="452"/>
      <c r="S99" s="452"/>
      <c r="T99" s="461"/>
      <c r="U99" s="461"/>
      <c r="V99" s="461"/>
      <c r="W99" s="461"/>
      <c r="X99" s="461"/>
      <c r="Y99" s="462"/>
      <c r="Z99" s="462"/>
      <c r="AA99" s="462"/>
      <c r="AB99" s="462"/>
      <c r="AC99" s="460"/>
      <c r="AD99" s="460" t="str">
        <f ca="1"/>
        <v>Lacobel RAL 1435 - maximální rozměr 2550 x 1605 mm</v>
      </c>
      <c r="AE99" s="460"/>
      <c r="AF99" s="460"/>
      <c r="AG99" s="460"/>
      <c r="AH99" s="460"/>
      <c r="AI99" s="462"/>
      <c r="AJ99" s="462"/>
      <c r="AK99" s="462"/>
      <c r="AL99" s="462"/>
    </row>
    <row r="100" spans="2:38" ht="14.85" hidden="1" customHeight="1">
      <c r="B100" s="450" t="str">
        <v>ROMA GRIP champagne mat</v>
      </c>
      <c r="C100" s="452"/>
      <c r="D100" s="452"/>
      <c r="E100" s="452"/>
      <c r="F100" s="452"/>
      <c r="G100" s="452"/>
      <c r="H100" s="452"/>
      <c r="I100" s="452"/>
      <c r="J100" s="452"/>
      <c r="K100" s="452"/>
      <c r="L100" s="452"/>
      <c r="M100" s="452"/>
      <c r="N100" s="452"/>
      <c r="O100" s="452"/>
      <c r="P100" s="452"/>
      <c r="Q100" s="452"/>
      <c r="R100" s="452"/>
      <c r="S100" s="452"/>
      <c r="T100" s="461"/>
      <c r="U100" s="461"/>
      <c r="V100" s="461"/>
      <c r="W100" s="461"/>
      <c r="X100" s="461"/>
      <c r="Y100" s="462"/>
      <c r="Z100" s="462"/>
      <c r="AA100" s="462"/>
      <c r="AB100" s="462"/>
      <c r="AC100" s="460"/>
      <c r="AD100" s="460">
        <f ca="1"/>
        <v>0</v>
      </c>
      <c r="AE100" s="460"/>
      <c r="AF100" s="460"/>
      <c r="AG100" s="460"/>
      <c r="AH100" s="460"/>
      <c r="AI100" s="462"/>
      <c r="AJ100" s="462"/>
      <c r="AK100" s="462"/>
      <c r="AL100" s="462"/>
    </row>
    <row r="101" spans="2:38" ht="14.85" hidden="1" customHeight="1">
      <c r="B101" s="452">
        <v>0</v>
      </c>
      <c r="T101" s="462"/>
      <c r="U101" s="462"/>
      <c r="V101" s="462"/>
      <c r="W101" s="462"/>
      <c r="X101" s="462"/>
      <c r="Y101" s="462"/>
      <c r="Z101" s="462"/>
      <c r="AA101" s="462"/>
      <c r="AB101" s="462"/>
      <c r="AC101" s="460"/>
      <c r="AD101" s="460" t="str">
        <f ca="1"/>
        <v>Lacobel RAL 1603 - maximální rozměr 2550 x 1605 mm</v>
      </c>
      <c r="AE101" s="460"/>
      <c r="AF101" s="460"/>
      <c r="AG101" s="460"/>
      <c r="AH101" s="460"/>
      <c r="AI101" s="462"/>
      <c r="AJ101" s="462"/>
      <c r="AK101" s="462"/>
      <c r="AL101" s="462"/>
    </row>
    <row r="102" spans="2:38" ht="14.85" hidden="1" customHeight="1">
      <c r="B102" s="452">
        <v>0</v>
      </c>
      <c r="T102" s="462"/>
      <c r="U102" s="462"/>
      <c r="V102" s="462"/>
      <c r="W102" s="462"/>
      <c r="X102" s="462"/>
      <c r="Y102" s="462"/>
      <c r="Z102" s="462"/>
      <c r="AA102" s="462"/>
      <c r="AB102" s="462"/>
      <c r="AC102" s="460"/>
      <c r="AD102" s="460" t="str">
        <f ca="1"/>
        <v>Lacobel RAL 1604 - maximální rozměr 2550 x 1605 mm</v>
      </c>
      <c r="AE102" s="460"/>
      <c r="AF102" s="460"/>
      <c r="AG102" s="460"/>
      <c r="AH102" s="460"/>
      <c r="AI102" s="462"/>
      <c r="AJ102" s="462"/>
      <c r="AK102" s="462"/>
      <c r="AL102" s="462"/>
    </row>
    <row r="103" spans="2:38" ht="14.85" hidden="1" customHeight="1">
      <c r="B103" s="452">
        <v>0</v>
      </c>
      <c r="T103" s="462"/>
      <c r="U103" s="462"/>
      <c r="V103" s="462"/>
      <c r="W103" s="462"/>
      <c r="X103" s="462"/>
      <c r="Y103" s="462"/>
      <c r="Z103" s="462"/>
      <c r="AA103" s="462"/>
      <c r="AB103" s="462"/>
      <c r="AC103" s="460"/>
      <c r="AD103" s="460" t="str">
        <f ca="1"/>
        <v>Matelac RAL 3004 - maximální rozměr 2550 x 1605 mm</v>
      </c>
      <c r="AE103" s="460"/>
      <c r="AF103" s="460"/>
      <c r="AG103" s="460"/>
      <c r="AH103" s="460"/>
      <c r="AI103" s="462"/>
      <c r="AJ103" s="462"/>
      <c r="AK103" s="462"/>
      <c r="AL103" s="462"/>
    </row>
    <row r="104" spans="2:38" ht="14.85" hidden="1" customHeight="1">
      <c r="B104" s="452">
        <v>0</v>
      </c>
      <c r="T104" s="462"/>
      <c r="U104" s="462"/>
      <c r="V104" s="462"/>
      <c r="W104" s="462"/>
      <c r="X104" s="462"/>
      <c r="Y104" s="462"/>
      <c r="Z104" s="462"/>
      <c r="AA104" s="462"/>
      <c r="AB104" s="462"/>
      <c r="AC104" s="460"/>
      <c r="AD104" s="460" t="str">
        <f ca="1"/>
        <v>Matelac RAL 7021 - maximální rozměr 2550 x 1605 mm</v>
      </c>
      <c r="AE104" s="460"/>
      <c r="AF104" s="460"/>
      <c r="AG104" s="460"/>
      <c r="AH104" s="460"/>
      <c r="AI104" s="462"/>
      <c r="AJ104" s="462"/>
      <c r="AK104" s="462"/>
      <c r="AL104" s="462"/>
    </row>
    <row r="105" spans="2:38" ht="14.85" hidden="1" customHeight="1">
      <c r="B105" s="452">
        <v>0</v>
      </c>
      <c r="T105" s="462"/>
      <c r="U105" s="462"/>
      <c r="V105" s="462"/>
      <c r="W105" s="462"/>
      <c r="X105" s="462"/>
      <c r="Y105" s="462"/>
      <c r="Z105" s="462"/>
      <c r="AA105" s="462"/>
      <c r="AB105" s="462"/>
      <c r="AC105" s="460"/>
      <c r="AD105" s="460" t="str">
        <f ca="1"/>
        <v>Matelac RAL 9003 - maximální rozměr 2550 x 1605 mm</v>
      </c>
      <c r="AE105" s="460"/>
      <c r="AF105" s="460"/>
      <c r="AG105" s="460"/>
      <c r="AH105" s="460"/>
      <c r="AI105" s="462"/>
      <c r="AJ105" s="462"/>
      <c r="AK105" s="462"/>
      <c r="AL105" s="462"/>
    </row>
    <row r="106" spans="2:38" ht="14.85" hidden="1" customHeight="1">
      <c r="B106" s="452">
        <v>0</v>
      </c>
      <c r="T106" s="462"/>
      <c r="U106" s="462"/>
      <c r="V106" s="462"/>
      <c r="W106" s="462"/>
      <c r="X106" s="462"/>
      <c r="Y106" s="462"/>
      <c r="Z106" s="462"/>
      <c r="AA106" s="462"/>
      <c r="AB106" s="462"/>
      <c r="AC106" s="460"/>
      <c r="AD106" s="460" t="str">
        <f ca="1"/>
        <v>Matelac RAL 9005 - maximální rozměr 2550 x 1605 mm</v>
      </c>
      <c r="AE106" s="460"/>
      <c r="AF106" s="460"/>
      <c r="AG106" s="460"/>
      <c r="AH106" s="460"/>
      <c r="AI106" s="462"/>
      <c r="AJ106" s="462"/>
      <c r="AK106" s="462"/>
      <c r="AL106" s="462"/>
    </row>
    <row r="107" spans="2:38" ht="14.85" hidden="1" customHeight="1">
      <c r="B107" s="452">
        <v>0</v>
      </c>
      <c r="T107" s="462"/>
      <c r="U107" s="462"/>
      <c r="V107" s="462"/>
      <c r="W107" s="462"/>
      <c r="X107" s="462"/>
      <c r="Y107" s="462"/>
      <c r="Z107" s="462"/>
      <c r="AA107" s="462"/>
      <c r="AB107" s="462"/>
      <c r="AC107" s="460"/>
      <c r="AD107" s="460" t="str">
        <f ca="1"/>
        <v>Matelac RAL 9006 - maximální rozměr 2550 x 1605 mm</v>
      </c>
      <c r="AE107" s="460"/>
      <c r="AF107" s="460"/>
      <c r="AG107" s="460"/>
      <c r="AH107" s="460"/>
      <c r="AI107" s="462"/>
      <c r="AJ107" s="462"/>
      <c r="AK107" s="462"/>
      <c r="AL107" s="462"/>
    </row>
    <row r="108" spans="2:38" ht="14.85" hidden="1" customHeight="1">
      <c r="B108" s="452">
        <v>0</v>
      </c>
      <c r="T108" s="462"/>
      <c r="U108" s="462"/>
      <c r="V108" s="462"/>
      <c r="W108" s="462"/>
      <c r="X108" s="462"/>
      <c r="Y108" s="462"/>
      <c r="Z108" s="462"/>
      <c r="AA108" s="462"/>
      <c r="AB108" s="462"/>
      <c r="AC108" s="460"/>
      <c r="AD108" s="460" t="str">
        <f ca="1"/>
        <v>Matelac RAL 1435 - maximální rozměr 2550 x 1605 mm</v>
      </c>
      <c r="AE108" s="460"/>
      <c r="AF108" s="460"/>
      <c r="AG108" s="460"/>
      <c r="AH108" s="460"/>
      <c r="AI108" s="462"/>
      <c r="AJ108" s="462"/>
      <c r="AK108" s="462"/>
      <c r="AL108" s="462"/>
    </row>
    <row r="109" spans="2:38" ht="14.85" hidden="1" customHeight="1">
      <c r="B109" s="452">
        <v>0</v>
      </c>
      <c r="T109" s="462"/>
      <c r="U109" s="462"/>
      <c r="V109" s="462"/>
      <c r="W109" s="462"/>
      <c r="X109" s="462"/>
      <c r="Y109" s="462"/>
      <c r="Z109" s="462"/>
      <c r="AA109" s="462"/>
      <c r="AB109" s="462"/>
      <c r="AC109" s="460"/>
      <c r="AD109" s="460" t="str">
        <f ca="1"/>
        <v>Matelac RAL 1586 - maximální rozměr 2550 x 1605 mm</v>
      </c>
      <c r="AE109" s="460"/>
      <c r="AF109" s="460"/>
      <c r="AG109" s="460"/>
      <c r="AH109" s="460"/>
      <c r="AI109" s="462"/>
      <c r="AJ109" s="462"/>
      <c r="AK109" s="462"/>
      <c r="AL109" s="462"/>
    </row>
    <row r="110" spans="2:38" ht="14.85" hidden="1" customHeight="1">
      <c r="B110" s="452">
        <v>0</v>
      </c>
      <c r="T110" s="462"/>
      <c r="U110" s="462"/>
      <c r="V110" s="462"/>
      <c r="W110" s="462"/>
      <c r="X110" s="462"/>
      <c r="Y110" s="462"/>
      <c r="Z110" s="462"/>
      <c r="AA110" s="462"/>
      <c r="AB110" s="462"/>
      <c r="AC110" s="460"/>
      <c r="AD110" s="460" t="str">
        <f ca="1"/>
        <v>Matelac zrcadlo bronz - maximální rozměr 2550 x 1605 mm</v>
      </c>
      <c r="AE110" s="460"/>
      <c r="AF110" s="460"/>
      <c r="AG110" s="460"/>
      <c r="AH110" s="460"/>
      <c r="AI110" s="462"/>
      <c r="AJ110" s="462"/>
      <c r="AK110" s="462"/>
      <c r="AL110" s="462"/>
    </row>
    <row r="111" spans="2:38" ht="14.85" hidden="1" customHeight="1">
      <c r="B111" s="452" t="str">
        <v xml:space="preserve"> </v>
      </c>
      <c r="T111" s="462"/>
      <c r="U111" s="462"/>
      <c r="V111" s="462"/>
      <c r="W111" s="462"/>
      <c r="X111" s="462"/>
      <c r="Y111" s="462"/>
      <c r="Z111" s="462"/>
      <c r="AA111" s="462"/>
      <c r="AB111" s="462"/>
      <c r="AC111" s="460"/>
      <c r="AD111" s="460" t="str">
        <f ca="1"/>
        <v>Matelac zrcadlo grafit - maximální rozměr 2550 x 1605 mm</v>
      </c>
      <c r="AE111" s="460"/>
      <c r="AF111" s="460"/>
      <c r="AG111" s="460"/>
      <c r="AH111" s="460"/>
      <c r="AI111" s="462"/>
      <c r="AJ111" s="462"/>
      <c r="AK111" s="462"/>
      <c r="AL111" s="462"/>
    </row>
    <row r="112" spans="2:38" ht="14.85" hidden="1" customHeight="1">
      <c r="B112" s="452">
        <v>0</v>
      </c>
      <c r="T112" s="462"/>
      <c r="U112" s="462"/>
      <c r="V112" s="462"/>
      <c r="W112" s="462"/>
      <c r="X112" s="462"/>
      <c r="Y112" s="462"/>
      <c r="Z112" s="462"/>
      <c r="AA112" s="462"/>
      <c r="AB112" s="462"/>
      <c r="AC112" s="460"/>
      <c r="AD112" s="460" t="str">
        <f ca="1"/>
        <v>Matelac zrcadlo stříbr. - maximální rozměr 2550 x 1605 mm</v>
      </c>
      <c r="AE112" s="460"/>
      <c r="AF112" s="460"/>
      <c r="AG112" s="460"/>
      <c r="AH112" s="460"/>
      <c r="AI112" s="462"/>
      <c r="AJ112" s="462"/>
      <c r="AK112" s="462"/>
      <c r="AL112" s="462"/>
    </row>
    <row r="113" spans="2:38" ht="14.85" hidden="1" customHeight="1">
      <c r="B113" s="452">
        <v>0</v>
      </c>
      <c r="T113" s="462"/>
      <c r="U113" s="462"/>
      <c r="V113" s="462"/>
      <c r="W113" s="462"/>
      <c r="X113" s="462"/>
      <c r="Y113" s="462"/>
      <c r="Z113" s="462"/>
      <c r="AA113" s="462"/>
      <c r="AB113" s="462"/>
      <c r="AC113" s="460"/>
      <c r="AD113" s="460" t="e">
        <f ca="1"/>
        <v>#N/A</v>
      </c>
      <c r="AE113" s="460"/>
      <c r="AF113" s="460"/>
      <c r="AG113" s="460"/>
      <c r="AH113" s="460"/>
      <c r="AI113" s="462"/>
      <c r="AJ113" s="462"/>
      <c r="AK113" s="462"/>
      <c r="AL113" s="462"/>
    </row>
    <row r="114" spans="2:38" ht="14.85" hidden="1" customHeight="1">
      <c r="B114" s="452">
        <v>0</v>
      </c>
      <c r="T114" s="462"/>
      <c r="U114" s="462"/>
      <c r="V114" s="462"/>
      <c r="W114" s="462"/>
      <c r="X114" s="462"/>
      <c r="Y114" s="462"/>
      <c r="Z114" s="462"/>
      <c r="AA114" s="462"/>
      <c r="AB114" s="462"/>
      <c r="AC114" s="460"/>
      <c r="AD114" s="460" t="e">
        <f ca="1"/>
        <v>#N/A</v>
      </c>
      <c r="AE114" s="460"/>
      <c r="AF114" s="460"/>
      <c r="AG114" s="460"/>
      <c r="AH114" s="460"/>
      <c r="AI114" s="462"/>
      <c r="AJ114" s="462"/>
      <c r="AK114" s="462"/>
      <c r="AL114" s="462"/>
    </row>
    <row r="115" spans="2:38" ht="14.85" hidden="1" customHeight="1">
      <c r="T115" s="462"/>
      <c r="U115" s="462"/>
      <c r="V115" s="462"/>
      <c r="W115" s="462"/>
      <c r="X115" s="462"/>
      <c r="Y115" s="462"/>
      <c r="Z115" s="462"/>
      <c r="AA115" s="462"/>
      <c r="AB115" s="462"/>
      <c r="AC115" s="460"/>
      <c r="AD115" s="460" t="e">
        <f ca="1"/>
        <v>#N/A</v>
      </c>
      <c r="AE115" s="460"/>
      <c r="AF115" s="460"/>
      <c r="AG115" s="460"/>
      <c r="AH115" s="460"/>
      <c r="AI115" s="462"/>
      <c r="AJ115" s="462"/>
      <c r="AK115" s="462"/>
      <c r="AL115" s="462"/>
    </row>
    <row r="116" spans="2:38" ht="19.5" hidden="1" customHeight="1">
      <c r="T116" s="462"/>
      <c r="U116" s="462"/>
      <c r="V116" s="462"/>
      <c r="W116" s="462"/>
      <c r="X116" s="462"/>
      <c r="Y116" s="462"/>
      <c r="Z116" s="462"/>
      <c r="AA116" s="462"/>
      <c r="AB116" s="462"/>
      <c r="AC116" s="460"/>
      <c r="AD116" s="460" t="e">
        <f ca="1"/>
        <v>#N/A</v>
      </c>
      <c r="AE116" s="460"/>
      <c r="AF116" s="460"/>
      <c r="AG116" s="460"/>
      <c r="AH116" s="460"/>
      <c r="AI116" s="462"/>
      <c r="AJ116" s="462"/>
      <c r="AK116" s="462"/>
      <c r="AL116" s="462"/>
    </row>
    <row r="117" spans="2:38" ht="14.85" hidden="1" customHeight="1">
      <c r="T117" s="462"/>
      <c r="U117" s="462"/>
      <c r="V117" s="462"/>
      <c r="W117" s="462"/>
      <c r="X117" s="462"/>
      <c r="Y117" s="462"/>
      <c r="Z117" s="462"/>
      <c r="AA117" s="462"/>
      <c r="AB117" s="462"/>
      <c r="AC117" s="460"/>
      <c r="AD117" s="460"/>
      <c r="AE117" s="460"/>
      <c r="AF117" s="460"/>
      <c r="AG117" s="460"/>
      <c r="AH117" s="460"/>
      <c r="AI117" s="462"/>
      <c r="AJ117" s="462"/>
      <c r="AK117" s="462"/>
      <c r="AL117" s="462"/>
    </row>
    <row r="118" spans="2:38" ht="14.85" hidden="1" customHeight="1">
      <c r="T118" s="462"/>
      <c r="U118" s="462"/>
      <c r="V118" s="462"/>
      <c r="W118" s="462"/>
      <c r="X118" s="462"/>
      <c r="Y118" s="462"/>
      <c r="Z118" s="462"/>
      <c r="AA118" s="462"/>
      <c r="AB118" s="462"/>
      <c r="AC118" s="460"/>
      <c r="AD118" s="460"/>
      <c r="AE118" s="460"/>
      <c r="AF118" s="460"/>
      <c r="AG118" s="460"/>
      <c r="AH118" s="460"/>
      <c r="AI118" s="462"/>
      <c r="AJ118" s="462"/>
      <c r="AK118" s="462"/>
      <c r="AL118" s="462"/>
    </row>
    <row r="119" spans="2:38" ht="14.85" hidden="1" customHeight="1">
      <c r="T119" s="462"/>
      <c r="U119" s="462"/>
      <c r="V119" s="462"/>
      <c r="W119" s="462"/>
      <c r="X119" s="462"/>
      <c r="Y119" s="462"/>
      <c r="Z119" s="462"/>
      <c r="AA119" s="462"/>
      <c r="AB119" s="462"/>
      <c r="AC119" s="460"/>
      <c r="AD119" s="460"/>
      <c r="AE119" s="460"/>
      <c r="AF119" s="460"/>
      <c r="AG119" s="460"/>
      <c r="AH119" s="460"/>
      <c r="AI119" s="462"/>
      <c r="AJ119" s="462"/>
      <c r="AK119" s="462"/>
      <c r="AL119" s="462"/>
    </row>
    <row r="120" spans="2:38" ht="14.85" hidden="1" customHeight="1">
      <c r="T120" s="462"/>
      <c r="U120" s="462"/>
      <c r="V120" s="462"/>
      <c r="W120" s="462"/>
      <c r="X120" s="462"/>
      <c r="Y120" s="462"/>
      <c r="Z120" s="462"/>
      <c r="AA120" s="462"/>
      <c r="AB120" s="462"/>
      <c r="AC120" s="460"/>
      <c r="AD120" s="460"/>
      <c r="AE120" s="460"/>
      <c r="AF120" s="460"/>
      <c r="AG120" s="460"/>
      <c r="AH120" s="460"/>
      <c r="AI120" s="462"/>
      <c r="AJ120" s="462"/>
      <c r="AK120" s="462"/>
      <c r="AL120" s="462"/>
    </row>
    <row r="121" spans="2:38" ht="14.85" hidden="1" customHeight="1">
      <c r="T121" s="462"/>
      <c r="U121" s="462"/>
      <c r="V121" s="462"/>
      <c r="W121" s="462"/>
      <c r="X121" s="462"/>
      <c r="Y121" s="462"/>
      <c r="Z121" s="462"/>
      <c r="AA121" s="462"/>
      <c r="AB121" s="462"/>
      <c r="AC121" s="460"/>
      <c r="AD121" s="460"/>
      <c r="AE121" s="460"/>
      <c r="AF121" s="460"/>
      <c r="AG121" s="460"/>
      <c r="AH121" s="460"/>
      <c r="AI121" s="462"/>
      <c r="AJ121" s="462"/>
      <c r="AK121" s="462"/>
      <c r="AL121" s="462"/>
    </row>
    <row r="122" spans="2:38" ht="14.85" hidden="1" customHeight="1">
      <c r="T122" s="462"/>
      <c r="U122" s="462"/>
      <c r="V122" s="462"/>
      <c r="W122" s="462"/>
      <c r="X122" s="462"/>
      <c r="Y122" s="462"/>
      <c r="Z122" s="462"/>
      <c r="AA122" s="462"/>
      <c r="AB122" s="462"/>
      <c r="AC122" s="460"/>
      <c r="AD122" s="460"/>
      <c r="AE122" s="460"/>
      <c r="AF122" s="460"/>
      <c r="AG122" s="460"/>
      <c r="AH122" s="460"/>
      <c r="AI122" s="462"/>
      <c r="AJ122" s="462"/>
      <c r="AK122" s="462"/>
      <c r="AL122" s="462"/>
    </row>
    <row r="123" spans="2:38" ht="14.85" hidden="1" customHeight="1">
      <c r="T123" s="462"/>
      <c r="U123" s="462"/>
      <c r="V123" s="462"/>
      <c r="W123" s="462"/>
      <c r="X123" s="462"/>
      <c r="Y123" s="462"/>
      <c r="Z123" s="462"/>
      <c r="AA123" s="462"/>
      <c r="AB123" s="462"/>
      <c r="AC123" s="460"/>
      <c r="AD123" s="460"/>
      <c r="AE123" s="460"/>
      <c r="AF123" s="460"/>
      <c r="AG123" s="460"/>
      <c r="AH123" s="460"/>
      <c r="AI123" s="462"/>
      <c r="AJ123" s="462"/>
      <c r="AK123" s="462"/>
      <c r="AL123" s="462"/>
    </row>
    <row r="124" spans="2:38" ht="14.85" hidden="1" customHeight="1">
      <c r="T124" s="462"/>
      <c r="U124" s="462"/>
      <c r="V124" s="462"/>
      <c r="W124" s="462"/>
      <c r="X124" s="462"/>
      <c r="Y124" s="462"/>
      <c r="Z124" s="462"/>
      <c r="AA124" s="462"/>
      <c r="AB124" s="462"/>
      <c r="AC124" s="460"/>
      <c r="AD124" s="460"/>
      <c r="AE124" s="460"/>
      <c r="AF124" s="460"/>
      <c r="AG124" s="460"/>
      <c r="AH124" s="460"/>
      <c r="AI124" s="462"/>
      <c r="AJ124" s="462"/>
      <c r="AK124" s="462"/>
      <c r="AL124" s="462"/>
    </row>
    <row r="125" spans="2:38" ht="14.85" hidden="1" customHeight="1">
      <c r="T125" s="462"/>
      <c r="U125" s="462"/>
      <c r="V125" s="462"/>
      <c r="W125" s="462"/>
      <c r="X125" s="462"/>
      <c r="Y125" s="462"/>
      <c r="Z125" s="462"/>
      <c r="AA125" s="462"/>
      <c r="AB125" s="462"/>
      <c r="AC125" s="460"/>
      <c r="AD125" s="460"/>
      <c r="AE125" s="460"/>
      <c r="AF125" s="460"/>
      <c r="AG125" s="460"/>
      <c r="AH125" s="460"/>
      <c r="AI125" s="462"/>
      <c r="AJ125" s="462"/>
      <c r="AK125" s="462"/>
      <c r="AL125" s="462"/>
    </row>
    <row r="126" spans="2:38" ht="14.85" hidden="1" customHeight="1">
      <c r="T126" s="462"/>
      <c r="U126" s="462"/>
      <c r="V126" s="462"/>
      <c r="W126" s="462"/>
      <c r="X126" s="462"/>
      <c r="Y126" s="462"/>
      <c r="Z126" s="462"/>
      <c r="AA126" s="462"/>
      <c r="AB126" s="462"/>
      <c r="AC126" s="460"/>
      <c r="AD126" s="460"/>
      <c r="AE126" s="460"/>
      <c r="AF126" s="460"/>
      <c r="AG126" s="460"/>
      <c r="AH126" s="460"/>
      <c r="AI126" s="462"/>
      <c r="AJ126" s="462"/>
      <c r="AK126" s="462"/>
      <c r="AL126" s="462"/>
    </row>
    <row r="127" spans="2:38" ht="14.85" hidden="1" customHeight="1">
      <c r="T127" s="462"/>
      <c r="U127" s="462"/>
      <c r="V127" s="462"/>
      <c r="W127" s="462"/>
      <c r="X127" s="462"/>
      <c r="Y127" s="462"/>
      <c r="Z127" s="462"/>
      <c r="AA127" s="462"/>
      <c r="AB127" s="462"/>
      <c r="AC127" s="460"/>
      <c r="AD127" s="460"/>
      <c r="AE127" s="460"/>
      <c r="AF127" s="460"/>
      <c r="AG127" s="460"/>
      <c r="AH127" s="460"/>
      <c r="AI127" s="462"/>
      <c r="AJ127" s="462"/>
      <c r="AK127" s="462"/>
      <c r="AL127" s="462"/>
    </row>
    <row r="128" spans="2:38" ht="14.85" hidden="1" customHeight="1">
      <c r="T128" s="462"/>
      <c r="U128" s="462"/>
      <c r="V128" s="462"/>
      <c r="W128" s="462"/>
      <c r="X128" s="462"/>
      <c r="Y128" s="462"/>
      <c r="Z128" s="462"/>
      <c r="AA128" s="462"/>
      <c r="AB128" s="462"/>
      <c r="AC128" s="460"/>
      <c r="AD128" s="460"/>
      <c r="AE128" s="460"/>
      <c r="AF128" s="460"/>
      <c r="AG128" s="460"/>
      <c r="AH128" s="460"/>
      <c r="AI128" s="462"/>
      <c r="AJ128" s="462"/>
      <c r="AK128" s="462"/>
      <c r="AL128" s="462"/>
    </row>
    <row r="129" spans="20:38" ht="14.85" hidden="1" customHeight="1">
      <c r="T129" s="462"/>
      <c r="U129" s="462"/>
      <c r="V129" s="462"/>
      <c r="W129" s="462"/>
      <c r="X129" s="462"/>
      <c r="Y129" s="462"/>
      <c r="Z129" s="462"/>
      <c r="AA129" s="462"/>
      <c r="AB129" s="462"/>
      <c r="AC129" s="460"/>
      <c r="AD129" s="460"/>
      <c r="AE129" s="460"/>
      <c r="AF129" s="460"/>
      <c r="AG129" s="460"/>
      <c r="AH129" s="460"/>
      <c r="AI129" s="462"/>
      <c r="AJ129" s="462"/>
      <c r="AK129" s="462"/>
      <c r="AL129" s="462"/>
    </row>
    <row r="130" spans="20:38" ht="14.85" hidden="1" customHeight="1">
      <c r="T130" s="462"/>
      <c r="U130" s="462"/>
      <c r="V130" s="462"/>
      <c r="W130" s="462"/>
      <c r="X130" s="462"/>
      <c r="Y130" s="462"/>
      <c r="Z130" s="462"/>
      <c r="AA130" s="462"/>
      <c r="AB130" s="462"/>
      <c r="AC130" s="460"/>
      <c r="AD130" s="460"/>
      <c r="AE130" s="460"/>
      <c r="AF130" s="460"/>
      <c r="AG130" s="460"/>
      <c r="AH130" s="460"/>
      <c r="AI130" s="462"/>
      <c r="AJ130" s="462"/>
      <c r="AK130" s="462"/>
      <c r="AL130" s="462"/>
    </row>
    <row r="131" spans="20:38" ht="14.85" hidden="1" customHeight="1">
      <c r="T131" s="462"/>
      <c r="U131" s="462"/>
      <c r="V131" s="462"/>
      <c r="W131" s="462"/>
      <c r="X131" s="462"/>
      <c r="Y131" s="462"/>
      <c r="Z131" s="462"/>
      <c r="AA131" s="462"/>
      <c r="AB131" s="462"/>
      <c r="AC131" s="462"/>
      <c r="AD131" s="462"/>
      <c r="AE131" s="462"/>
      <c r="AF131" s="462"/>
      <c r="AG131" s="462"/>
      <c r="AH131" s="462"/>
      <c r="AI131" s="462"/>
      <c r="AJ131" s="462"/>
      <c r="AK131" s="462"/>
      <c r="AL131" s="462"/>
    </row>
    <row r="132" spans="20:38" ht="14.85" hidden="1" customHeight="1">
      <c r="T132" s="462"/>
      <c r="U132" s="462"/>
      <c r="V132" s="462"/>
      <c r="W132" s="462"/>
      <c r="X132" s="462"/>
      <c r="Y132" s="462"/>
      <c r="Z132" s="462"/>
      <c r="AA132" s="462"/>
      <c r="AB132" s="462"/>
      <c r="AC132" s="462"/>
      <c r="AD132" s="462"/>
      <c r="AE132" s="462"/>
      <c r="AF132" s="462"/>
      <c r="AG132" s="462"/>
      <c r="AH132" s="462"/>
      <c r="AI132" s="462"/>
      <c r="AJ132" s="462"/>
      <c r="AK132" s="462"/>
      <c r="AL132" s="462"/>
    </row>
    <row r="133" spans="20:38" ht="14.85" hidden="1" customHeight="1">
      <c r="T133" s="462"/>
      <c r="U133" s="462"/>
      <c r="V133" s="462"/>
      <c r="W133" s="462"/>
      <c r="X133" s="462"/>
      <c r="Y133" s="462"/>
      <c r="Z133" s="462"/>
      <c r="AA133" s="462"/>
      <c r="AB133" s="462"/>
      <c r="AC133" s="462"/>
      <c r="AD133" s="462"/>
      <c r="AE133" s="462"/>
      <c r="AF133" s="462"/>
      <c r="AG133" s="462"/>
      <c r="AH133" s="462"/>
      <c r="AI133" s="462"/>
      <c r="AJ133" s="462"/>
      <c r="AK133" s="462"/>
      <c r="AL133" s="462"/>
    </row>
    <row r="134" spans="20:38" ht="14.85" hidden="1" customHeight="1">
      <c r="T134" s="462"/>
      <c r="U134" s="462"/>
      <c r="V134" s="462"/>
      <c r="W134" s="462"/>
      <c r="X134" s="462"/>
      <c r="Y134" s="462"/>
      <c r="Z134" s="462"/>
      <c r="AA134" s="462"/>
      <c r="AB134" s="462"/>
      <c r="AC134" s="462"/>
      <c r="AD134" s="462"/>
      <c r="AE134" s="462"/>
      <c r="AF134" s="462"/>
      <c r="AG134" s="462"/>
      <c r="AH134" s="462"/>
      <c r="AI134" s="462"/>
      <c r="AJ134" s="462"/>
      <c r="AK134" s="462"/>
      <c r="AL134" s="462"/>
    </row>
    <row r="135" spans="20:38" ht="14.85" hidden="1" customHeight="1">
      <c r="T135" s="462"/>
      <c r="U135" s="462"/>
      <c r="V135" s="462"/>
      <c r="W135" s="462"/>
      <c r="X135" s="462"/>
      <c r="Y135" s="462"/>
      <c r="Z135" s="462"/>
      <c r="AA135" s="462"/>
      <c r="AB135" s="462"/>
      <c r="AC135" s="462"/>
      <c r="AD135" s="462"/>
      <c r="AE135" s="462"/>
      <c r="AF135" s="462"/>
      <c r="AG135" s="462"/>
      <c r="AH135" s="462"/>
      <c r="AI135" s="462"/>
      <c r="AJ135" s="462"/>
      <c r="AK135" s="462"/>
      <c r="AL135" s="462"/>
    </row>
    <row r="136" spans="20:38" ht="14.85" hidden="1" customHeight="1">
      <c r="T136" s="462"/>
      <c r="U136" s="462"/>
      <c r="V136" s="462"/>
      <c r="W136" s="462"/>
      <c r="X136" s="462"/>
      <c r="Y136" s="462"/>
      <c r="Z136" s="462"/>
      <c r="AA136" s="462"/>
      <c r="AB136" s="462"/>
      <c r="AC136" s="462"/>
      <c r="AD136" s="462"/>
      <c r="AE136" s="462"/>
      <c r="AF136" s="462"/>
      <c r="AG136" s="462"/>
      <c r="AH136" s="462"/>
      <c r="AI136" s="462"/>
      <c r="AJ136" s="462"/>
      <c r="AK136" s="462"/>
      <c r="AL136" s="462"/>
    </row>
    <row r="137" spans="20:38" ht="14.85" hidden="1" customHeight="1">
      <c r="T137" s="462"/>
      <c r="U137" s="462"/>
      <c r="V137" s="462"/>
      <c r="W137" s="462"/>
      <c r="X137" s="462"/>
      <c r="Y137" s="462"/>
      <c r="Z137" s="462"/>
      <c r="AA137" s="462"/>
      <c r="AB137" s="462"/>
      <c r="AC137" s="462"/>
      <c r="AD137" s="462"/>
      <c r="AE137" s="462"/>
      <c r="AF137" s="462"/>
      <c r="AG137" s="462"/>
      <c r="AH137" s="462"/>
      <c r="AI137" s="462"/>
      <c r="AJ137" s="462"/>
      <c r="AK137" s="462"/>
      <c r="AL137" s="462"/>
    </row>
    <row r="138" spans="20:38" ht="14.85" hidden="1" customHeight="1">
      <c r="T138" s="462"/>
      <c r="U138" s="462"/>
      <c r="V138" s="462"/>
      <c r="W138" s="462"/>
      <c r="X138" s="462"/>
      <c r="Y138" s="462"/>
      <c r="Z138" s="462"/>
      <c r="AA138" s="462"/>
      <c r="AB138" s="462"/>
      <c r="AC138" s="462"/>
      <c r="AD138" s="462"/>
      <c r="AE138" s="462"/>
      <c r="AF138" s="462"/>
      <c r="AG138" s="462"/>
      <c r="AH138" s="462"/>
      <c r="AI138" s="462"/>
      <c r="AJ138" s="462"/>
      <c r="AK138" s="462"/>
      <c r="AL138" s="462"/>
    </row>
    <row r="65536" ht="29.25" hidden="1" customHeight="1"/>
  </sheetData>
  <sheetProtection algorithmName="SHA-512" hashValue="KQe4zCPguTsspRANcOsk/AN/dvwMiMvdSGnTWaeuNKTwvyOen+MvEbaw36NjzWUUHzUCC5dSLm84xZSAZ+DVrw==" saltValue="2nwBC6z3d0ZDjDXvDy+tug==" spinCount="100000" sheet="1" objects="1" scenarios="1" selectLockedCells="1"/>
  <protectedRanges>
    <protectedRange sqref="G7 I7:R7" name="Oblast1"/>
  </protectedRanges>
  <mergeCells count="94">
    <mergeCell ref="G7:Q7"/>
    <mergeCell ref="B32:Q32"/>
    <mergeCell ref="B28:F28"/>
    <mergeCell ref="H28:Q28"/>
    <mergeCell ref="H29:I29"/>
    <mergeCell ref="J29:Q29"/>
    <mergeCell ref="B30:J31"/>
    <mergeCell ref="K30:K31"/>
    <mergeCell ref="L30:O31"/>
    <mergeCell ref="P30:Q31"/>
    <mergeCell ref="H23:Q23"/>
    <mergeCell ref="B11:F11"/>
    <mergeCell ref="H11:L11"/>
    <mergeCell ref="M11:Q11"/>
    <mergeCell ref="B12:F12"/>
    <mergeCell ref="H12:Q12"/>
    <mergeCell ref="H21:Q21"/>
    <mergeCell ref="S25:Y31"/>
    <mergeCell ref="AF30:AH30"/>
    <mergeCell ref="AB29:AO29"/>
    <mergeCell ref="AM23:AM25"/>
    <mergeCell ref="AL19:AL25"/>
    <mergeCell ref="AC25:AD25"/>
    <mergeCell ref="AJ26:AJ27"/>
    <mergeCell ref="AF25:AK25"/>
    <mergeCell ref="B19:F19"/>
    <mergeCell ref="AR19:AR23"/>
    <mergeCell ref="AI30:AK30"/>
    <mergeCell ref="AO31:AR32"/>
    <mergeCell ref="B24:F24"/>
    <mergeCell ref="H24:Q24"/>
    <mergeCell ref="AC24:AG24"/>
    <mergeCell ref="B25:F25"/>
    <mergeCell ref="H25:Q25"/>
    <mergeCell ref="S24:U24"/>
    <mergeCell ref="B26:F26"/>
    <mergeCell ref="H26:Q26"/>
    <mergeCell ref="B27:F27"/>
    <mergeCell ref="H27:Q27"/>
    <mergeCell ref="H19:Q19"/>
    <mergeCell ref="N20:Q20"/>
    <mergeCell ref="H18:Q18"/>
    <mergeCell ref="AR14:AR18"/>
    <mergeCell ref="B15:F15"/>
    <mergeCell ref="H15:Q15"/>
    <mergeCell ref="B16:E16"/>
    <mergeCell ref="F16:I16"/>
    <mergeCell ref="J16:M16"/>
    <mergeCell ref="B17:F17"/>
    <mergeCell ref="B18:F18"/>
    <mergeCell ref="AM14:AM21"/>
    <mergeCell ref="AN19:AO19"/>
    <mergeCell ref="H17:Q17"/>
    <mergeCell ref="B21:F21"/>
    <mergeCell ref="B20:E20"/>
    <mergeCell ref="F20:I20"/>
    <mergeCell ref="J20:M20"/>
    <mergeCell ref="S13:Y17"/>
    <mergeCell ref="B14:F14"/>
    <mergeCell ref="H13:Q13"/>
    <mergeCell ref="H14:Q14"/>
    <mergeCell ref="B13:F13"/>
    <mergeCell ref="AQ7:AQ27"/>
    <mergeCell ref="A2:AJ3"/>
    <mergeCell ref="AP2:AS3"/>
    <mergeCell ref="BD3:BH3"/>
    <mergeCell ref="BI3:BM3"/>
    <mergeCell ref="B5:D5"/>
    <mergeCell ref="F5:H5"/>
    <mergeCell ref="J5:L5"/>
    <mergeCell ref="N5:P5"/>
    <mergeCell ref="R5:T5"/>
    <mergeCell ref="AB4:AN5"/>
    <mergeCell ref="M10:Q10"/>
    <mergeCell ref="AC8:AG8"/>
    <mergeCell ref="S10:Y12"/>
    <mergeCell ref="S18:Y23"/>
    <mergeCell ref="H10:L10"/>
    <mergeCell ref="B33:Y33"/>
    <mergeCell ref="V5:X5"/>
    <mergeCell ref="B7:F7"/>
    <mergeCell ref="S7:U7"/>
    <mergeCell ref="AJ7:AJ8"/>
    <mergeCell ref="H8:Q8"/>
    <mergeCell ref="B9:F9"/>
    <mergeCell ref="H9:Q9"/>
    <mergeCell ref="AC9:AD9"/>
    <mergeCell ref="N16:Q16"/>
    <mergeCell ref="S8:Y9"/>
    <mergeCell ref="AF9:AK9"/>
    <mergeCell ref="AD10:AD12"/>
    <mergeCell ref="AE10:AE16"/>
    <mergeCell ref="AD14:AD21"/>
    <mergeCell ref="AB19:AC19"/>
  </mergeCells>
  <conditionalFormatting sqref="A1:AS1 A4:AB4 AO4:AS5 A5 E5 I5 M5 Q5 U5 Y5:AA5 A6:Z6 AR6:AS13 V7:Z7 A7:A32 R8:R31 Z8:Z31 AS14:AS32 AR24:AR30 B29:G29 AA29 AP29:AQ29 AA30:AE30 AL30:AQ30 AA31:AN31 R32:AN32 A33:B33 Z33:AE33 AG33:IV33">
    <cfRule type="expression" dxfId="631" priority="23">
      <formula>$AS$33=1</formula>
    </cfRule>
  </conditionalFormatting>
  <conditionalFormatting sqref="B5 F5 J5 N5 R5 V5">
    <cfRule type="cellIs" dxfId="630" priority="29" operator="equal">
      <formula>$A$2</formula>
    </cfRule>
  </conditionalFormatting>
  <conditionalFormatting sqref="B10:G10">
    <cfRule type="expression" dxfId="629" priority="22">
      <formula>$AS$33=1</formula>
    </cfRule>
  </conditionalFormatting>
  <conditionalFormatting sqref="B16:I16">
    <cfRule type="expression" dxfId="628" priority="52">
      <formula>$AU$19=0</formula>
    </cfRule>
  </conditionalFormatting>
  <conditionalFormatting sqref="B9:Q9">
    <cfRule type="expression" dxfId="627" priority="37">
      <formula>$B$9=0</formula>
    </cfRule>
  </conditionalFormatting>
  <conditionalFormatting sqref="B11:Q11">
    <cfRule type="expression" dxfId="626" priority="51">
      <formula>$AU$10=0</formula>
    </cfRule>
  </conditionalFormatting>
  <conditionalFormatting sqref="B14:Q14">
    <cfRule type="expression" dxfId="625" priority="36">
      <formula>$B$14=0</formula>
    </cfRule>
  </conditionalFormatting>
  <conditionalFormatting sqref="B17:Q17">
    <cfRule type="expression" dxfId="624" priority="35">
      <formula>$B$17=0</formula>
    </cfRule>
  </conditionalFormatting>
  <conditionalFormatting sqref="B18:Q18">
    <cfRule type="expression" dxfId="623" priority="11" stopIfTrue="1">
      <formula>$B$18=0</formula>
    </cfRule>
    <cfRule type="expression" dxfId="622" priority="14">
      <formula>$F$16=$H$61</formula>
    </cfRule>
  </conditionalFormatting>
  <conditionalFormatting sqref="B19:Q19">
    <cfRule type="expression" dxfId="621" priority="34">
      <formula>$B$19=0</formula>
    </cfRule>
  </conditionalFormatting>
  <conditionalFormatting sqref="B20:Q20">
    <cfRule type="expression" dxfId="620" priority="31">
      <formula>$B$19=0</formula>
    </cfRule>
    <cfRule type="expression" dxfId="619" priority="30">
      <formula>$B$20=0</formula>
    </cfRule>
  </conditionalFormatting>
  <conditionalFormatting sqref="B21:Q21">
    <cfRule type="expression" dxfId="618" priority="3">
      <formula>$B$21=" "</formula>
    </cfRule>
  </conditionalFormatting>
  <conditionalFormatting sqref="B24:Q24">
    <cfRule type="expression" dxfId="617" priority="17" stopIfTrue="1">
      <formula>$T$59&lt;3</formula>
    </cfRule>
  </conditionalFormatting>
  <conditionalFormatting sqref="H23">
    <cfRule type="expression" dxfId="616" priority="38">
      <formula>$H$25&gt;0</formula>
    </cfRule>
  </conditionalFormatting>
  <conditionalFormatting sqref="H10:L11">
    <cfRule type="expression" dxfId="615" priority="27">
      <formula>$AU$10=2</formula>
    </cfRule>
  </conditionalFormatting>
  <conditionalFormatting sqref="H10:Q10">
    <cfRule type="expression" dxfId="614" priority="26">
      <formula>$AU$10=0</formula>
    </cfRule>
  </conditionalFormatting>
  <conditionalFormatting sqref="H22:Q22 B22:G23">
    <cfRule type="expression" dxfId="613" priority="21">
      <formula>$AS$33=1</formula>
    </cfRule>
  </conditionalFormatting>
  <conditionalFormatting sqref="J16:M16">
    <cfRule type="expression" dxfId="612" priority="13" stopIfTrue="1">
      <formula>$K$60=TRUE</formula>
    </cfRule>
  </conditionalFormatting>
  <conditionalFormatting sqref="J16:N16">
    <cfRule type="expression" dxfId="611" priority="15" stopIfTrue="1">
      <formula>$AV$19=0</formula>
    </cfRule>
  </conditionalFormatting>
  <conditionalFormatting sqref="M10:Q11">
    <cfRule type="expression" dxfId="610" priority="25">
      <formula>$AU$10=1</formula>
    </cfRule>
  </conditionalFormatting>
  <conditionalFormatting sqref="N16:Q16">
    <cfRule type="expression" dxfId="609" priority="12" stopIfTrue="1">
      <formula>$K$60=TRUE</formula>
    </cfRule>
  </conditionalFormatting>
  <conditionalFormatting sqref="S7:S8">
    <cfRule type="cellIs" dxfId="608" priority="33" operator="equal">
      <formula>0</formula>
    </cfRule>
  </conditionalFormatting>
  <conditionalFormatting sqref="S24">
    <cfRule type="cellIs" dxfId="607" priority="32" operator="equal">
      <formula>0</formula>
    </cfRule>
  </conditionalFormatting>
  <conditionalFormatting sqref="S8:Y23 AQ7:AQ27 S25:Y31 AB29:AO29">
    <cfRule type="expression" dxfId="606" priority="19">
      <formula>$AS$33=1</formula>
    </cfRule>
  </conditionalFormatting>
  <conditionalFormatting sqref="S8:Y23">
    <cfRule type="cellIs" dxfId="605" priority="28" operator="equal">
      <formula>0</formula>
    </cfRule>
  </conditionalFormatting>
  <conditionalFormatting sqref="S18:Y23">
    <cfRule type="expression" dxfId="604" priority="16" stopIfTrue="1">
      <formula>$S$18=FALSE</formula>
    </cfRule>
  </conditionalFormatting>
  <conditionalFormatting sqref="V24:Y24">
    <cfRule type="expression" dxfId="603" priority="20">
      <formula>$AS$33=1</formula>
    </cfRule>
  </conditionalFormatting>
  <conditionalFormatting sqref="AA9:AA10 AA24:AA25">
    <cfRule type="expression" dxfId="602" priority="7" stopIfTrue="1">
      <formula>$AU$17=1</formula>
    </cfRule>
  </conditionalFormatting>
  <conditionalFormatting sqref="AA16:AA17">
    <cfRule type="expression" dxfId="601" priority="2" stopIfTrue="1">
      <formula>$AU$24="1_3"</formula>
    </cfRule>
  </conditionalFormatting>
  <conditionalFormatting sqref="AC6:AD6 AM6:AN6">
    <cfRule type="expression" dxfId="600" priority="9" stopIfTrue="1">
      <formula>$AU$17=3</formula>
    </cfRule>
  </conditionalFormatting>
  <conditionalFormatting sqref="AC25:AD25 AJ26:AJ27">
    <cfRule type="expression" dxfId="599" priority="46">
      <formula>$AU$25=4</formula>
    </cfRule>
  </conditionalFormatting>
  <conditionalFormatting sqref="AC28:AD28 AM28:AN28">
    <cfRule type="expression" dxfId="598" priority="8" stopIfTrue="1">
      <formula>$AU$17=4</formula>
    </cfRule>
  </conditionalFormatting>
  <conditionalFormatting sqref="AC8:AG8">
    <cfRule type="expression" dxfId="597" priority="50">
      <formula>$AU$25=3</formula>
    </cfRule>
  </conditionalFormatting>
  <conditionalFormatting sqref="AC24:AG24">
    <cfRule type="expression" dxfId="596" priority="47">
      <formula>$AU$25=4</formula>
    </cfRule>
  </conditionalFormatting>
  <conditionalFormatting sqref="AD10:AD12 AB19:AC19">
    <cfRule type="expression" dxfId="595" priority="40">
      <formula>$AU$25=1</formula>
    </cfRule>
  </conditionalFormatting>
  <conditionalFormatting sqref="AD14:AD21">
    <cfRule type="expression" dxfId="594" priority="39">
      <formula>$AU$25=1</formula>
    </cfRule>
  </conditionalFormatting>
  <conditionalFormatting sqref="AE10:AE16">
    <cfRule type="expression" dxfId="593" priority="48">
      <formula>$AU$25=1</formula>
    </cfRule>
  </conditionalFormatting>
  <conditionalFormatting sqref="AF9:AK9">
    <cfRule type="expression" dxfId="592" priority="43">
      <formula>$AU$25=3</formula>
    </cfRule>
  </conditionalFormatting>
  <conditionalFormatting sqref="AF25:AK25">
    <cfRule type="expression" dxfId="591" priority="45">
      <formula>$AU$25=4</formula>
    </cfRule>
  </conditionalFormatting>
  <conditionalFormatting sqref="AG6:AH6">
    <cfRule type="expression" dxfId="590" priority="5" stopIfTrue="1">
      <formula>$AU$24="3_3"</formula>
    </cfRule>
  </conditionalFormatting>
  <conditionalFormatting sqref="AG28:AH28">
    <cfRule type="expression" dxfId="589" priority="4" stopIfTrue="1">
      <formula>$AU$24="4_3"</formula>
    </cfRule>
  </conditionalFormatting>
  <conditionalFormatting sqref="AI19">
    <cfRule type="expression" dxfId="588" priority="1" stopIfTrue="1">
      <formula>AV1048555=2</formula>
    </cfRule>
  </conditionalFormatting>
  <conditionalFormatting sqref="AJ7:AJ8 AC9:AD9">
    <cfRule type="expression" dxfId="587" priority="44">
      <formula>$AU$25=3</formula>
    </cfRule>
  </conditionalFormatting>
  <conditionalFormatting sqref="AL19:AL25">
    <cfRule type="expression" dxfId="586" priority="49">
      <formula>$AU$25=2</formula>
    </cfRule>
  </conditionalFormatting>
  <conditionalFormatting sqref="AM14:AM21">
    <cfRule type="expression" dxfId="585" priority="41">
      <formula>$AU$25=2</formula>
    </cfRule>
  </conditionalFormatting>
  <conditionalFormatting sqref="AN19:AO19 AM23:AM25">
    <cfRule type="expression" dxfId="584" priority="42">
      <formula>$AU$25=2</formula>
    </cfRule>
  </conditionalFormatting>
  <conditionalFormatting sqref="AP9:AP10 AP24:AP25">
    <cfRule type="expression" dxfId="583" priority="6" stopIfTrue="1">
      <formula>$AU$17=2</formula>
    </cfRule>
  </conditionalFormatting>
  <conditionalFormatting sqref="AP16:AP17">
    <cfRule type="expression" dxfId="582" priority="10" stopIfTrue="1">
      <formula>$AU$24="2_3"</formula>
    </cfRule>
  </conditionalFormatting>
  <conditionalFormatting sqref="AQ6 AQ28">
    <cfRule type="expression" dxfId="581" priority="18">
      <formula>$AS$33=1</formula>
    </cfRule>
  </conditionalFormatting>
  <conditionalFormatting sqref="AQ7:AQ27 AB29:AO29">
    <cfRule type="cellIs" dxfId="580" priority="24" operator="equal">
      <formula>0</formula>
    </cfRule>
  </conditionalFormatting>
  <dataValidations count="24">
    <dataValidation type="list" allowBlank="1" showInputMessage="1" showErrorMessage="1" sqref="H18:Q18" xr:uid="{DBA8E922-56F2-4F82-BC80-809AB2CAC017}">
      <formula1>INDIRECT(CONCATENATE("_",AV7,"_",H15))</formula1>
    </dataValidation>
    <dataValidation type="whole" allowBlank="1" showInputMessage="1" showErrorMessage="1" sqref="J11 L11" xr:uid="{45510114-E096-4093-95C4-3CE0C67564B1}">
      <formula1>1</formula1>
      <formula2>(V16/100)-1</formula2>
    </dataValidation>
    <dataValidation type="whole" allowBlank="1" showInputMessage="1" showErrorMessage="1" sqref="H11:I11" xr:uid="{66E302FC-10D0-4DDE-9004-0126311EC456}">
      <formula1>1</formula1>
      <formula2>(AR14/100)-1</formula2>
    </dataValidation>
    <dataValidation type="whole" allowBlank="1" showInputMessage="1" showErrorMessage="1" sqref="M11:Q11" xr:uid="{BADCD879-9347-4CE0-B4E0-ADDA21424C31}">
      <formula1>1</formula1>
      <formula2>(AI30/100)-1</formula2>
    </dataValidation>
    <dataValidation type="whole" allowBlank="1" showInputMessage="1" showErrorMessage="1" sqref="K11" xr:uid="{3B21AD4D-57CE-4357-B930-53ABD3DC62CC}">
      <formula1>1</formula1>
      <formula2>(#REF!/100)-1</formula2>
    </dataValidation>
    <dataValidation type="whole" allowBlank="1" showInputMessage="1" showErrorMessage="1" errorTitle="Minimum 80 mm" sqref="F20:I20 N20:Q20" xr:uid="{6D0A7B05-9344-490A-B8F6-6BD78CE8AE18}">
      <formula1>80</formula1>
      <formula2>1300</formula2>
    </dataValidation>
    <dataValidation type="list" allowBlank="1" showInputMessage="1" showErrorMessage="1" sqref="H27:Q27" xr:uid="{63B22F1C-D67B-4436-AE0C-D525AC054C11}">
      <formula1>_umisteni_zavesu</formula1>
    </dataValidation>
    <dataValidation type="whole" operator="greaterThanOrEqual" allowBlank="1" showInputMessage="1" showErrorMessage="1" sqref="H26:Q26" xr:uid="{95EE1A81-2899-4EB7-9ED7-1A45575ABB50}">
      <formula1>1</formula1>
    </dataValidation>
    <dataValidation type="list" allowBlank="1" showInputMessage="1" showErrorMessage="1" sqref="H12:Q12" xr:uid="{EAE4C873-6CF6-431D-AC05-7D1DA0992419}">
      <formula1>$L$36:$M$36</formula1>
    </dataValidation>
    <dataValidation type="list" allowBlank="1" showInputMessage="1" showErrorMessage="1" sqref="H24:Q24" xr:uid="{C22EB02A-A1E6-4970-B690-2B9E0E2D1DB0}">
      <formula1>$X$54:$X$56</formula1>
    </dataValidation>
    <dataValidation type="list" allowBlank="1" showInputMessage="1" showErrorMessage="1" sqref="H21:Q21" xr:uid="{D620F48C-B18F-41D9-86C9-EEAC093CEE09}">
      <formula1>$T$54:$T$56</formula1>
    </dataValidation>
    <dataValidation type="list" allowBlank="1" showInputMessage="1" showErrorMessage="1" sqref="H17:Q17" xr:uid="{480DE754-B2A5-4A74-ACE2-E63463BAB317}">
      <formula1>$P$54:$P$57</formula1>
    </dataValidation>
    <dataValidation type="list" allowBlank="1" showInputMessage="1" showErrorMessage="1" sqref="N16:Q16" xr:uid="{6E9E0E93-213A-4C58-BF76-6B65911386D0}">
      <formula1>$K$54:$K$58</formula1>
    </dataValidation>
    <dataValidation type="list" allowBlank="1" showInputMessage="1" showErrorMessage="1" sqref="H14:Q14" xr:uid="{81C93959-26B7-4BA5-9E9F-6C0112C29C6C}">
      <formula1>$P$36:$P$38</formula1>
    </dataValidation>
    <dataValidation type="list" allowBlank="1" showInputMessage="1" showErrorMessage="1" sqref="H13:Q13" xr:uid="{454F89D2-5412-4A5C-93EF-F25AC29FA069}">
      <formula1>IF(M38="Salice",$L$38,$L$38:$L$42)</formula1>
    </dataValidation>
    <dataValidation type="list" allowBlank="1" showInputMessage="1" showErrorMessage="1" sqref="H29:I29" xr:uid="{25304F3E-7774-4643-9BA2-7DE8578AE21F}">
      <formula1>$F$29:$G$29</formula1>
    </dataValidation>
    <dataValidation type="list" allowBlank="1" showInputMessage="1" showErrorMessage="1" sqref="H25:Q25" xr:uid="{1F56B1F5-B242-4A6A-B949-C7E579EA38A9}">
      <formula1>$AD$54:$AD$111</formula1>
    </dataValidation>
    <dataValidation type="list" allowBlank="1" showInputMessage="1" showErrorMessage="1" sqref="F16:I16" xr:uid="{CBD6793D-C463-4106-AC52-4448297C9505}">
      <formula1>$H$54:$H$60</formula1>
    </dataValidation>
    <dataValidation type="list" allowBlank="1" showInputMessage="1" showErrorMessage="1" sqref="H19:Q19" xr:uid="{DA129ACA-9CBB-4DED-A667-A1DEE88408F5}">
      <formula1>IF(H13="Salice",$AJ$36,($AJ$36:$AJ$40))</formula1>
    </dataValidation>
    <dataValidation type="list" allowBlank="1" showInputMessage="1" showErrorMessage="1" sqref="H15:Q15" xr:uid="{4A6BAAFB-F452-4B73-B68C-98F0561D9A1C}">
      <formula1>$T$36:$T$45</formula1>
    </dataValidation>
    <dataValidation type="list" allowBlank="1" showInputMessage="1" showErrorMessage="1" sqref="H9:Q9" xr:uid="{68818DA0-6CC1-4CA6-B9ED-3AD125E49170}">
      <formula1>_roletka_predely</formula1>
    </dataValidation>
    <dataValidation type="whole" operator="lessThan" showErrorMessage="1" errorTitle="MAX 1300 mm" error="MAXIMUM 1250 mm x 2550 mm" sqref="AI30:AK30" xr:uid="{9B1FB3D8-72D7-4E4F-8CDF-0BD6EF53FE03}">
      <formula1>IF(AR14&gt;1252,1251,2551)</formula1>
    </dataValidation>
    <dataValidation type="whole" operator="lessThan" showErrorMessage="1" errorTitle="MAX 2500" error="MAXIMUM 1250 mm x 2550 mm" sqref="AR14:AR18" xr:uid="{7402CE99-EF4F-46DD-B1D3-4E7AB798989E}">
      <formula1>IF(AI30&gt;=1251,1251,2551)</formula1>
    </dataValidation>
    <dataValidation type="list" allowBlank="1" showInputMessage="1" showErrorMessage="1" sqref="H8:Q8" xr:uid="{DCCFECC5-750B-4FD3-BBA6-57C83550B6E3}">
      <formula1>_Roletka_profil_2</formula1>
    </dataValidation>
  </dataValidations>
  <hyperlinks>
    <hyperlink ref="AP2:AS3" location="Hlavní!A1" display="Hlavní!A1" xr:uid="{F04661D4-5B56-495C-8BB6-70BB88D9C49B}"/>
    <hyperlink ref="F5:H5" location="Ram_2!A1" display="Ram_2!A1" xr:uid="{464FFA0C-A7FE-42E9-8580-ABC2D5BFB543}"/>
    <hyperlink ref="N5:P5" location="Ram_4!A1" display="Ram_4!A1" xr:uid="{CA3CB43B-1BB7-4E53-BAE1-6DD540E4E5B4}"/>
    <hyperlink ref="R5:T5" location="Ram_5!A1" display="Ram_5!A1" xr:uid="{319F327F-1C87-412F-A8A1-6014AD509450}"/>
    <hyperlink ref="V5:X5" location="Ram_6!A1" display="Ram_6!A1" xr:uid="{36F8AB26-502D-4D34-82E3-E44D18D817E6}"/>
    <hyperlink ref="B5:D5" location="Ram_1!A1" display="Ram_1!A1" xr:uid="{B2D39121-1872-4BAD-AFDA-E4D8B374DC71}"/>
    <hyperlink ref="AO31:AR32" location="_souhrn!A1" display="_souhrn!A1" xr:uid="{EB472933-2064-4B15-82E7-686E4B37AD29}"/>
    <hyperlink ref="J5:L5" location="Ram_3!A1" display="Ram_3!A1" xr:uid="{CA7EF245-04EC-46D0-B143-1F7145E1BD72}"/>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0753" r:id="rId4"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330757" r:id="rId5"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1389" r:id="rId6"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1390" r:id="rId7" name="Check Box 1102">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1391" r:id="rId8" name="Check Box 1103">
              <controlPr defaultSize="0" autoFill="0" autoLine="0" autoPict="0">
                <anchor moveWithCells="1">
                  <from>
                    <xdr:col>5</xdr:col>
                    <xdr:colOff>57150</xdr:colOff>
                    <xdr:row>6</xdr:row>
                    <xdr:rowOff>104775</xdr:rowOff>
                  </from>
                  <to>
                    <xdr:col>5</xdr:col>
                    <xdr:colOff>285750</xdr:colOff>
                    <xdr:row>7</xdr:row>
                    <xdr:rowOff>295275</xdr:rowOff>
                  </to>
                </anchor>
              </controlPr>
            </control>
          </mc:Choice>
        </mc:AlternateContent>
        <mc:AlternateContent xmlns:mc="http://schemas.openxmlformats.org/markup-compatibility/2006">
          <mc:Choice Requires="x14">
            <control shapeId="781414" r:id="rId9"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1415" r:id="rId10" name="Check Box 1127">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1583" r:id="rId11"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1584" r:id="rId12" name="Check Box 1296">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1586" r:id="rId13"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781587" r:id="rId14" name="Check Box 1299">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mc:AlternateContent xmlns:mc="http://schemas.openxmlformats.org/markup-compatibility/2006">
          <mc:Choice Requires="x14">
            <control shapeId="781911" r:id="rId15"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92276" r:id="rId16"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mc:AlternateContent xmlns:mc="http://schemas.openxmlformats.org/markup-compatibility/2006">
          <mc:Choice Requires="x14">
            <control shapeId="992283" r:id="rId17" name="Check Box 1967">
              <controlPr locked="0" defaultSize="0" autoFill="0" autoLine="0" autoPict="0">
                <anchor moveWithCells="1">
                  <from>
                    <xdr:col>26</xdr:col>
                    <xdr:colOff>685800</xdr:colOff>
                    <xdr:row>0</xdr:row>
                    <xdr:rowOff>0</xdr:rowOff>
                  </from>
                  <to>
                    <xdr:col>27</xdr:col>
                    <xdr:colOff>0</xdr:colOff>
                    <xdr:row>2</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schemas.microsoft.com/office/2006/metadata/properties"/>
    <ds:schemaRef ds:uri="http://purl.org/dc/elements/1.1/"/>
    <ds:schemaRef ds:uri="http://schemas.microsoft.com/office/2006/documentManagement/types"/>
    <ds:schemaRef ds:uri="2c8825e3-4848-4b63-9b10-965fc9c256c4"/>
    <ds:schemaRef ds:uri="http://schemas.microsoft.com/office/infopath/2007/PartnerControls"/>
    <ds:schemaRef ds:uri="http://purl.org/dc/dcmitype/"/>
    <ds:schemaRef ds:uri="http://schemas.openxmlformats.org/package/2006/metadata/core-properties"/>
    <ds:schemaRef ds:uri="64fddb11-1e6d-45a8-860c-ea134d1632ab"/>
    <ds:schemaRef ds:uri="http://www.w3.org/XML/1998/namespace"/>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500</vt:i4>
      </vt:variant>
    </vt:vector>
  </HeadingPairs>
  <TitlesOfParts>
    <vt:vector size="530" baseType="lpstr">
      <vt:lpstr>Hlavní</vt:lpstr>
      <vt:lpstr>Zakaznik</vt:lpstr>
      <vt:lpstr>Sklo</vt:lpstr>
      <vt:lpstr>rozpad závěsů bez prázdn. řádků</vt:lpstr>
      <vt:lpstr>Translate&amp;Prices&amp;Logo</vt:lpstr>
      <vt:lpstr>Ram_1</vt:lpstr>
      <vt:lpstr>kombinace_1</vt:lpstr>
      <vt:lpstr>závěsy dle výklopu</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_souhrn</vt:lpstr>
      <vt:lpstr>Barevnice</vt:lpstr>
      <vt:lpstr>Typy profilů</vt:lpstr>
      <vt:lpstr>_souhrn (2)</vt:lpstr>
      <vt:lpstr>Posuvné rámečky</vt:lpstr>
      <vt:lpstr>POMOC SEZNAM PANTU</vt:lpstr>
      <vt:lpstr>Běžné rámečky</vt:lpstr>
      <vt:lpstr>Ceny</vt:lpstr>
      <vt:lpstr>Ceny_n</vt:lpstr>
      <vt:lpstr>kombinace_2!_A1</vt:lpstr>
      <vt:lpstr>kombinace_3!_A1</vt:lpstr>
      <vt:lpstr>kombinace_4!_A1</vt:lpstr>
      <vt:lpstr>kombinace_5!_A1</vt:lpstr>
      <vt:lpstr>kombinace_6!_A1</vt:lpstr>
      <vt:lpstr>kombinace_posuv!_A1</vt:lpstr>
      <vt:lpstr>_A1</vt:lpstr>
      <vt:lpstr>kombinace_2!_A2</vt:lpstr>
      <vt:lpstr>kombinace_3!_A2</vt:lpstr>
      <vt:lpstr>kombinace_4!_A2</vt:lpstr>
      <vt:lpstr>kombinace_5!_A2</vt:lpstr>
      <vt:lpstr>kombinace_6!_A2</vt:lpstr>
      <vt:lpstr>kombinace_posuv!_A2</vt:lpstr>
      <vt:lpstr>_A2</vt:lpstr>
      <vt:lpstr>kombinace_2!_A3</vt:lpstr>
      <vt:lpstr>kombinace_3!_A3</vt:lpstr>
      <vt:lpstr>kombinace_4!_A3</vt:lpstr>
      <vt:lpstr>kombinace_5!_A3</vt:lpstr>
      <vt:lpstr>kombinace_6!_A3</vt:lpstr>
      <vt:lpstr>kombinace_posuv!_A3</vt:lpstr>
      <vt:lpstr>_A3</vt:lpstr>
      <vt:lpstr>_corleone</vt:lpstr>
      <vt:lpstr>kombinace_posuv!_kombinovane_profily</vt:lpstr>
      <vt:lpstr>_kombinovane_profily</vt:lpstr>
      <vt:lpstr>kombinace_2!_N1</vt:lpstr>
      <vt:lpstr>kombinace_3!_N1</vt:lpstr>
      <vt:lpstr>kombinace_4!_N1</vt:lpstr>
      <vt:lpstr>kombinace_5!_N1</vt:lpstr>
      <vt:lpstr>kombinace_6!_N1</vt:lpstr>
      <vt:lpstr>kombinace_posuv!_N1</vt:lpstr>
      <vt:lpstr>_N1</vt:lpstr>
      <vt:lpstr>kombinace_2!_N2</vt:lpstr>
      <vt:lpstr>kombinace_3!_N2</vt:lpstr>
      <vt:lpstr>kombinace_4!_N2</vt:lpstr>
      <vt:lpstr>kombinace_5!_N2</vt:lpstr>
      <vt:lpstr>kombinace_6!_N2</vt:lpstr>
      <vt:lpstr>kombinace_posuv!_N2</vt:lpstr>
      <vt:lpstr>_N2</vt:lpstr>
      <vt:lpstr>kombinace_2!_N3</vt:lpstr>
      <vt:lpstr>kombinace_3!_N3</vt:lpstr>
      <vt:lpstr>kombinace_4!_N3</vt:lpstr>
      <vt:lpstr>kombinace_5!_N3</vt:lpstr>
      <vt:lpstr>kombinace_6!_N3</vt:lpstr>
      <vt:lpstr>kombinace_posuv!_N3</vt:lpstr>
      <vt:lpstr>_N3</vt:lpstr>
      <vt:lpstr>kombinace_2!_pocet_sprzosy</vt:lpstr>
      <vt:lpstr>kombinace_3!_pocet_sprzosy</vt:lpstr>
      <vt:lpstr>kombinace_4!_pocet_sprzosy</vt:lpstr>
      <vt:lpstr>kombinace_5!_pocet_sprzosy</vt:lpstr>
      <vt:lpstr>kombinace_6!_pocet_sprzosy</vt:lpstr>
      <vt:lpstr>kombinace_posuv!_pocet_sprzosy</vt:lpstr>
      <vt:lpstr>_pocet_sprzosy</vt:lpstr>
      <vt:lpstr>_profily_síťka</vt:lpstr>
      <vt:lpstr>_ramena_HL</vt:lpstr>
      <vt:lpstr>_roletka_predely</vt:lpstr>
      <vt:lpstr>_Roletka_predely_2</vt:lpstr>
      <vt:lpstr>_Roletka_predely_3</vt:lpstr>
      <vt:lpstr>_Roletka_predely_4</vt:lpstr>
      <vt:lpstr>_Roletka_predely_5</vt:lpstr>
      <vt:lpstr>_Roletka_predely_6</vt:lpstr>
      <vt:lpstr>_Roletka_profil_1</vt:lpstr>
      <vt:lpstr>_Roletka_profil_2</vt:lpstr>
      <vt:lpstr>_Roletka_profil_3</vt:lpstr>
      <vt:lpstr>_Roletka_profil_4</vt:lpstr>
      <vt:lpstr>_Roletka_profil_5</vt:lpstr>
      <vt:lpstr>_Roletka_profil_6</vt:lpstr>
      <vt:lpstr>_Salice_naložený</vt:lpstr>
      <vt:lpstr>_strong_vzpera_horni</vt:lpstr>
      <vt:lpstr>_stronglift_klopna</vt:lpstr>
      <vt:lpstr>_široký_alsó_K12</vt:lpstr>
      <vt:lpstr>_široký_alsó_Kraby</vt:lpstr>
      <vt:lpstr>kombinace_2!_široký_Automatická_vzpěra</vt:lpstr>
      <vt:lpstr>kombinace_3!_široký_Automatická_vzpěra</vt:lpstr>
      <vt:lpstr>kombinace_4!_široký_Automatická_vzpěra</vt:lpstr>
      <vt:lpstr>kombinace_5!_široký_Automatická_vzpěra</vt:lpstr>
      <vt:lpstr>kombinace_6!_široký_Automatická_vzpěra</vt:lpstr>
      <vt:lpstr>kombinace_posuv!_široký_Automatická_vzpěra</vt:lpstr>
      <vt:lpstr>kombinace_2!_široký_Aventos_HF</vt:lpstr>
      <vt:lpstr>kombinace_3!_široký_Aventos_HF</vt:lpstr>
      <vt:lpstr>kombinace_4!_široký_Aventos_HF</vt:lpstr>
      <vt:lpstr>kombinace_5!_široký_Aventos_HF</vt:lpstr>
      <vt:lpstr>kombinace_6!_široký_Aventos_HF</vt:lpstr>
      <vt:lpstr>kombinace_posuv!_široký_Aventos_HF</vt:lpstr>
      <vt:lpstr>_široký_Aventos_HF_TOP</vt:lpstr>
      <vt:lpstr>kombinace_2!_široký_Aventos_HK_XS</vt:lpstr>
      <vt:lpstr>kombinace_3!_široký_Aventos_HK_XS</vt:lpstr>
      <vt:lpstr>kombinace_4!_široký_Aventos_HK_XS</vt:lpstr>
      <vt:lpstr>kombinace_5!_široký_Aventos_HK_XS</vt:lpstr>
      <vt:lpstr>kombinace_6!_široký_Aventos_HK_XS</vt:lpstr>
      <vt:lpstr>kombinace_posuv!_široký_Aventos_HK_XS</vt:lpstr>
      <vt:lpstr>_široký_Aventos_HK_XS</vt:lpstr>
      <vt:lpstr>_široký_BLUM_naložený</vt:lpstr>
      <vt:lpstr>_široký_BLUM_polonaložený</vt:lpstr>
      <vt:lpstr>_široký_BLUM_vložený</vt:lpstr>
      <vt:lpstr>_široký_dolny_K12</vt:lpstr>
      <vt:lpstr>_široký_dolny_Kraby</vt:lpstr>
      <vt:lpstr>kombinace_2!_široký_Duo</vt:lpstr>
      <vt:lpstr>kombinace_3!_široký_Duo</vt:lpstr>
      <vt:lpstr>kombinace_4!_široký_Duo</vt:lpstr>
      <vt:lpstr>kombinace_5!_široký_Duo</vt:lpstr>
      <vt:lpstr>kombinace_6!_široký_Duo</vt:lpstr>
      <vt:lpstr>kombinace_posuv!_široký_Duo</vt:lpstr>
      <vt:lpstr>_široký_Duo</vt:lpstr>
      <vt:lpstr>kombinace_2!_široký_Duo_Forte</vt:lpstr>
      <vt:lpstr>kombinace_3!_široký_Duo_Forte</vt:lpstr>
      <vt:lpstr>kombinace_4!_široký_Duo_Forte</vt:lpstr>
      <vt:lpstr>kombinace_5!_široký_Duo_Forte</vt:lpstr>
      <vt:lpstr>kombinace_6!_široký_Duo_Forte</vt:lpstr>
      <vt:lpstr>kombinace_posuv!_široký_Duo_Forte</vt:lpstr>
      <vt:lpstr>_široký_Duo_Forte</vt:lpstr>
      <vt:lpstr>kombinace_2!_široký_FREEfold</vt:lpstr>
      <vt:lpstr>kombinace_3!_široký_FREEfold</vt:lpstr>
      <vt:lpstr>kombinace_4!_široký_FREEfold</vt:lpstr>
      <vt:lpstr>kombinace_5!_široký_FREEfold</vt:lpstr>
      <vt:lpstr>kombinace_6!_široký_FREEfold</vt:lpstr>
      <vt:lpstr>kombinace_posuv!_široký_FREEfold</vt:lpstr>
      <vt:lpstr>_široký_FREEfold</vt:lpstr>
      <vt:lpstr>kombinace_2!_široký_FREElight</vt:lpstr>
      <vt:lpstr>kombinace_3!_široký_FREElight</vt:lpstr>
      <vt:lpstr>kombinace_4!_široký_FREElight</vt:lpstr>
      <vt:lpstr>kombinace_5!_široký_FREElight</vt:lpstr>
      <vt:lpstr>kombinace_6!_široký_FREElight</vt:lpstr>
      <vt:lpstr>kombinace_posuv!_široký_FREElight</vt:lpstr>
      <vt:lpstr>_široký_FREElight</vt:lpstr>
      <vt:lpstr>_široký_HETTICH_naložený</vt:lpstr>
      <vt:lpstr>_široký_HETTICH_polonaložený</vt:lpstr>
      <vt:lpstr>_široký_HETTICH_vložený</vt:lpstr>
      <vt:lpstr>kombinace_2!_široký_K12</vt:lpstr>
      <vt:lpstr>kombinace_3!_široký_K12</vt:lpstr>
      <vt:lpstr>kombinace_4!_široký_K12</vt:lpstr>
      <vt:lpstr>kombinace_5!_široký_K12</vt:lpstr>
      <vt:lpstr>kombinace_6!_široký_K12</vt:lpstr>
      <vt:lpstr>kombinace_posuv!_široký_K12</vt:lpstr>
      <vt:lpstr>_široký_K12</vt:lpstr>
      <vt:lpstr>kombinace_2!_široký_Kiaro</vt:lpstr>
      <vt:lpstr>kombinace_3!_široký_Kiaro</vt:lpstr>
      <vt:lpstr>kombinace_4!_široký_Kiaro</vt:lpstr>
      <vt:lpstr>kombinace_5!_široký_Kiaro</vt:lpstr>
      <vt:lpstr>kombinace_6!_široký_Kiaro</vt:lpstr>
      <vt:lpstr>kombinace_posuv!_široký_Kiaro</vt:lpstr>
      <vt:lpstr>_široký_Kiaro</vt:lpstr>
      <vt:lpstr>kombinace_2!_široký_Kraby</vt:lpstr>
      <vt:lpstr>kombinace_3!_široký_Kraby</vt:lpstr>
      <vt:lpstr>kombinace_4!_široký_Kraby</vt:lpstr>
      <vt:lpstr>kombinace_5!_široký_Kraby</vt:lpstr>
      <vt:lpstr>kombinace_6!_široký_Kraby</vt:lpstr>
      <vt:lpstr>kombinace_posuv!_široký_Kraby</vt:lpstr>
      <vt:lpstr>_široký_Kraby</vt:lpstr>
      <vt:lpstr>kombinace_2!_široký_LiftMini</vt:lpstr>
      <vt:lpstr>kombinace_3!_široký_LiftMini</vt:lpstr>
      <vt:lpstr>kombinace_4!_široký_LiftMini</vt:lpstr>
      <vt:lpstr>kombinace_5!_široký_LiftMini</vt:lpstr>
      <vt:lpstr>kombinace_6!_široký_LiftMini</vt:lpstr>
      <vt:lpstr>kombinace_posuv!_široký_LiftMini</vt:lpstr>
      <vt:lpstr>_široký_LiftMini</vt:lpstr>
      <vt:lpstr>kombinace_2!_široký_Link</vt:lpstr>
      <vt:lpstr>kombinace_3!_široký_Link</vt:lpstr>
      <vt:lpstr>kombinace_4!_široký_Link</vt:lpstr>
      <vt:lpstr>kombinace_5!_široký_Link</vt:lpstr>
      <vt:lpstr>kombinace_6!_široký_Link</vt:lpstr>
      <vt:lpstr>kombinace_posuv!_široký_Link</vt:lpstr>
      <vt:lpstr>_široký_Link</vt:lpstr>
      <vt:lpstr>kombinace_2!_široký_Maxi</vt:lpstr>
      <vt:lpstr>kombinace_3!_široký_Maxi</vt:lpstr>
      <vt:lpstr>kombinace_4!_široký_Maxi</vt:lpstr>
      <vt:lpstr>kombinace_5!_široký_Maxi</vt:lpstr>
      <vt:lpstr>kombinace_6!_široký_Maxi</vt:lpstr>
      <vt:lpstr>kombinace_posuv!_široký_Maxi</vt:lpstr>
      <vt:lpstr>_široký_Maxi</vt:lpstr>
      <vt:lpstr>kombinace_2!_široký_Polohovací_vzpěra</vt:lpstr>
      <vt:lpstr>kombinace_3!_široký_Polohovací_vzpěra</vt:lpstr>
      <vt:lpstr>kombinace_4!_široký_Polohovací_vzpěra</vt:lpstr>
      <vt:lpstr>kombinace_5!_široký_Polohovací_vzpěra</vt:lpstr>
      <vt:lpstr>kombinace_6!_široký_Polohovací_vzpěra</vt:lpstr>
      <vt:lpstr>kombinace_posuv!_široký_Polohovací_vzpěra</vt:lpstr>
      <vt:lpstr>kombinace_2!_široký_Spodní_K12</vt:lpstr>
      <vt:lpstr>kombinace_3!_široký_Spodní_K12</vt:lpstr>
      <vt:lpstr>kombinace_4!_široký_Spodní_K12</vt:lpstr>
      <vt:lpstr>kombinace_5!_široký_Spodní_K12</vt:lpstr>
      <vt:lpstr>kombinace_6!_široký_Spodní_K12</vt:lpstr>
      <vt:lpstr>kombinace_posuv!_široký_Spodní_K12</vt:lpstr>
      <vt:lpstr>_široký_Spodní_K12</vt:lpstr>
      <vt:lpstr>kombinace_2!_široký_Spodní_Kraby</vt:lpstr>
      <vt:lpstr>kombinace_3!_široký_Spodní_Kraby</vt:lpstr>
      <vt:lpstr>kombinace_4!_široký_Spodní_Kraby</vt:lpstr>
      <vt:lpstr>kombinace_5!_široký_Spodní_Kraby</vt:lpstr>
      <vt:lpstr>kombinace_6!_široký_Spodní_Kraby</vt:lpstr>
      <vt:lpstr>kombinace_posuv!_široký_Spodní_Kraby</vt:lpstr>
      <vt:lpstr>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_široký_Stronglift_alsó</vt:lpstr>
      <vt:lpstr>_široký_Stronglift_dolny</vt:lpstr>
      <vt:lpstr>_široký_Stronglift_felső</vt:lpstr>
      <vt:lpstr>_široký_Stronglift_gorny</vt:lpstr>
      <vt:lpstr>_široký_Stronglift_horní</vt:lpstr>
      <vt:lpstr>_široký_Stronglift_spodní</vt:lpstr>
      <vt:lpstr>kombinace_posuv!_umisteni_zavesu</vt:lpstr>
      <vt:lpstr>_umisteni_zavesu</vt:lpstr>
      <vt:lpstr>kombinace_posuv!_umisteni_zavesu_vyklop</vt:lpstr>
      <vt:lpstr>_umisteni_zavesu_vyklop</vt:lpstr>
      <vt:lpstr>_Úzký_alsó_K12</vt:lpstr>
      <vt:lpstr>_Úzký_alsó_Kraby</vt:lpstr>
      <vt:lpstr>kombinace_2!_Úzký_Automatická_vzpěra</vt:lpstr>
      <vt:lpstr>kombinace_3!_Úzký_Automatická_vzpěra</vt:lpstr>
      <vt:lpstr>kombinace_4!_Úzký_Automatická_vzpěra</vt:lpstr>
      <vt:lpstr>kombinace_5!_Úzký_Automatická_vzpěra</vt:lpstr>
      <vt:lpstr>kombinace_6!_Úzký_Automatická_vzpěra</vt:lpstr>
      <vt:lpstr>kombinace_posuv!_Úzký_Automatická_vzpěra</vt:lpstr>
      <vt:lpstr>_Úzký_Aventos_HF_TOP</vt:lpstr>
      <vt:lpstr>kombinace_2!_Úzký_Aventos_HK_XS</vt:lpstr>
      <vt:lpstr>kombinace_3!_Úzký_Aventos_HK_XS</vt:lpstr>
      <vt:lpstr>kombinace_4!_Úzký_Aventos_HK_XS</vt:lpstr>
      <vt:lpstr>kombinace_5!_Úzký_Aventos_HK_XS</vt:lpstr>
      <vt:lpstr>kombinace_6!_Úzký_Aventos_HK_XS</vt:lpstr>
      <vt:lpstr>kombinace_posuv!_Úzký_Aventos_HK_XS</vt:lpstr>
      <vt:lpstr>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_Úzký_dolny_K12</vt:lpstr>
      <vt:lpstr>_Úzký_dolny_Kraby</vt:lpstr>
      <vt:lpstr>kombinace_2!_Úzký_Duo</vt:lpstr>
      <vt:lpstr>kombinace_3!_Úzký_Duo</vt:lpstr>
      <vt:lpstr>kombinace_4!_Úzký_Duo</vt:lpstr>
      <vt:lpstr>kombinace_5!_Úzký_Duo</vt:lpstr>
      <vt:lpstr>kombinace_6!_Úzký_Duo</vt:lpstr>
      <vt:lpstr>kombinace_posuv!_Úzký_Duo</vt:lpstr>
      <vt:lpstr>_Úzký_Duo</vt:lpstr>
      <vt:lpstr>kombinace_2!_Úzký_Duo_Forte</vt:lpstr>
      <vt:lpstr>kombinace_3!_Úzký_Duo_Forte</vt:lpstr>
      <vt:lpstr>kombinace_4!_Úzký_Duo_Forte</vt:lpstr>
      <vt:lpstr>kombinace_5!_Úzký_Duo_Forte</vt:lpstr>
      <vt:lpstr>kombinace_6!_Úzký_Duo_Forte</vt:lpstr>
      <vt:lpstr>kombinace_posuv!_Úzký_Duo_Forte</vt:lpstr>
      <vt:lpstr>_Úzký_Duo_Forte</vt:lpstr>
      <vt:lpstr>kombinace_2!_Úzký_FREEfold</vt:lpstr>
      <vt:lpstr>kombinace_3!_Úzký_FREEfold</vt:lpstr>
      <vt:lpstr>kombinace_4!_Úzký_FREEfold</vt:lpstr>
      <vt:lpstr>kombinace_5!_Úzký_FREEfold</vt:lpstr>
      <vt:lpstr>kombinace_6!_Úzký_FREEfold</vt:lpstr>
      <vt:lpstr>kombinace_posuv!_Úzký_FREEfold</vt:lpstr>
      <vt:lpstr>_Úzký_FREEfold</vt:lpstr>
      <vt:lpstr>kombinace_2!_Úzký_FREElight</vt:lpstr>
      <vt:lpstr>kombinace_3!_Úzký_FREElight</vt:lpstr>
      <vt:lpstr>kombinace_4!_Úzký_FREElight</vt:lpstr>
      <vt:lpstr>kombinace_5!_Úzký_FREElight</vt:lpstr>
      <vt:lpstr>kombinace_6!_Úzký_FREElight</vt:lpstr>
      <vt:lpstr>kombinace_posuv!_Úzký_FREElight</vt:lpstr>
      <vt:lpstr>_Úzký_FREElight</vt:lpstr>
      <vt:lpstr>_úzký_HETTICH_naložený</vt:lpstr>
      <vt:lpstr>_úzký_HETTICH_polonaložený</vt:lpstr>
      <vt:lpstr>_úzký_HETTICH_vložený</vt:lpstr>
      <vt:lpstr>kombinace_2!_Úzký_K12</vt:lpstr>
      <vt:lpstr>kombinace_3!_Úzký_K12</vt:lpstr>
      <vt:lpstr>kombinace_4!_Úzký_K12</vt:lpstr>
      <vt:lpstr>kombinace_5!_Úzký_K12</vt:lpstr>
      <vt:lpstr>kombinace_6!_Úzký_K12</vt:lpstr>
      <vt:lpstr>kombinace_posuv!_Úzký_K12</vt:lpstr>
      <vt:lpstr>_Úzký_K12</vt:lpstr>
      <vt:lpstr>kombinace_2!_Úzký_Kiaro</vt:lpstr>
      <vt:lpstr>kombinace_3!_Úzký_Kiaro</vt:lpstr>
      <vt:lpstr>kombinace_4!_Úzký_Kiaro</vt:lpstr>
      <vt:lpstr>kombinace_5!_Úzký_Kiaro</vt:lpstr>
      <vt:lpstr>kombinace_6!_Úzký_Kiaro</vt:lpstr>
      <vt:lpstr>kombinace_posuv!_Úzký_Kiaro</vt:lpstr>
      <vt:lpstr>_Úzký_Kiaro</vt:lpstr>
      <vt:lpstr>kombinace_2!_Úzký_Kraby</vt:lpstr>
      <vt:lpstr>kombinace_3!_Úzký_Kraby</vt:lpstr>
      <vt:lpstr>kombinace_4!_Úzký_Kraby</vt:lpstr>
      <vt:lpstr>kombinace_5!_Úzký_Kraby</vt:lpstr>
      <vt:lpstr>kombinace_6!_Úzký_Kraby</vt:lpstr>
      <vt:lpstr>kombinace_posuv!_Úzký_Kraby</vt:lpstr>
      <vt:lpstr>_Úzký_Kraby</vt:lpstr>
      <vt:lpstr>kombinace_2!_Úzký_LiftMini</vt:lpstr>
      <vt:lpstr>kombinace_3!_Úzký_LiftMini</vt:lpstr>
      <vt:lpstr>kombinace_4!_Úzký_LiftMini</vt:lpstr>
      <vt:lpstr>kombinace_5!_Úzký_LiftMini</vt:lpstr>
      <vt:lpstr>kombinace_6!_Úzký_LiftMini</vt:lpstr>
      <vt:lpstr>kombinace_posuv!_Úzký_LiftMini</vt:lpstr>
      <vt:lpstr>_Úzký_LiftMini</vt:lpstr>
      <vt:lpstr>kombinace_2!_Úzký_Link</vt:lpstr>
      <vt:lpstr>kombinace_3!_Úzký_Link</vt:lpstr>
      <vt:lpstr>kombinace_4!_Úzký_Link</vt:lpstr>
      <vt:lpstr>kombinace_5!_Úzký_Link</vt:lpstr>
      <vt:lpstr>kombinace_6!_Úzký_Link</vt:lpstr>
      <vt:lpstr>kombinace_posuv!_Úzký_Link</vt:lpstr>
      <vt:lpstr>_Úzký_Link</vt:lpstr>
      <vt:lpstr>kombinace_2!_Úzký_Maxi</vt:lpstr>
      <vt:lpstr>kombinace_3!_Úzký_Maxi</vt:lpstr>
      <vt:lpstr>kombinace_4!_Úzký_Maxi</vt:lpstr>
      <vt:lpstr>kombinace_5!_Úzký_Maxi</vt:lpstr>
      <vt:lpstr>kombinace_6!_Úzký_Maxi</vt:lpstr>
      <vt:lpstr>kombinace_posuv!_Úzký_Maxi</vt:lpstr>
      <vt:lpstr>_Úzký_Maxi</vt:lpstr>
      <vt:lpstr>kombinace_2!_Úzký_Polohovací_vzpěra</vt:lpstr>
      <vt:lpstr>kombinace_3!_Úzký_Polohovací_vzpěra</vt:lpstr>
      <vt:lpstr>kombinace_4!_Úzký_Polohovací_vzpěra</vt:lpstr>
      <vt:lpstr>kombinace_5!_Úzký_Polohovací_vzpěra</vt:lpstr>
      <vt:lpstr>kombinace_6!_Úzký_Polohovací_vzpěra</vt:lpstr>
      <vt:lpstr>kombinace_posuv!_Úzký_Polohovací_vzpěra</vt:lpstr>
      <vt:lpstr>kombinace_2!_Úzký_Spodní_K12</vt:lpstr>
      <vt:lpstr>kombinace_3!_Úzký_Spodní_K12</vt:lpstr>
      <vt:lpstr>kombinace_4!_Úzký_Spodní_K12</vt:lpstr>
      <vt:lpstr>kombinace_5!_Úzký_Spodní_K12</vt:lpstr>
      <vt:lpstr>kombinace_6!_Úzký_Spodní_K12</vt:lpstr>
      <vt:lpstr>kombinace_posuv!_Úzký_Spodní_K12</vt:lpstr>
      <vt:lpstr>_Úzký_Spodní_K12</vt:lpstr>
      <vt:lpstr>kombinace_2!_Úzký_Spodní_Kraby</vt:lpstr>
      <vt:lpstr>kombinace_3!_Úzký_Spodní_Kraby</vt:lpstr>
      <vt:lpstr>kombinace_4!_Úzký_Spodní_Kraby</vt:lpstr>
      <vt:lpstr>kombinace_5!_Úzký_Spodní_Kraby</vt:lpstr>
      <vt:lpstr>kombinace_6!_Úzký_Spodní_Kraby</vt:lpstr>
      <vt:lpstr>kombinace_posuv!_Úzký_Spodní_Kraby</vt:lpstr>
      <vt:lpstr>_Úzký_Spodní_Kraby</vt:lpstr>
      <vt:lpstr>_úzký_STRONGHINGESS3_naložený</vt:lpstr>
      <vt:lpstr>_úzký_STRONGHINGESS5_naložený</vt:lpstr>
      <vt:lpstr>_Úzký_Stronglift_alsó</vt:lpstr>
      <vt:lpstr>_Úzký_Stronglift_dolny</vt:lpstr>
      <vt:lpstr>_Úzký_Stronglift_felső</vt:lpstr>
      <vt:lpstr>_Úzký_Stronglift_gorny</vt:lpstr>
      <vt:lpstr>_Úzký_Stronglift_horní</vt:lpstr>
      <vt:lpstr>_Úzký_Stronglift_spodní</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kombinace_2!_znacka_vyklopy</vt:lpstr>
      <vt:lpstr>kombinace_3!_znacka_vyklopy</vt:lpstr>
      <vt:lpstr>kombinace_4!_znacka_vyklopy</vt:lpstr>
      <vt:lpstr>kombinace_5!_znacka_vyklopy</vt:lpstr>
      <vt:lpstr>kombinace_6!_znacka_vyklopy</vt:lpstr>
      <vt:lpstr>kombinace_posuv!_znacka_vyklopy</vt:lpstr>
      <vt:lpstr>_znacka_vyklopy</vt:lpstr>
      <vt:lpstr>kombinace_2!_znacka_zavesy</vt:lpstr>
      <vt:lpstr>kombinace_3!_znacka_zavesy</vt:lpstr>
      <vt:lpstr>kombinace_4!_znacka_zavesy</vt:lpstr>
      <vt:lpstr>kombinace_5!_znacka_zavesy</vt:lpstr>
      <vt:lpstr>kombinace_6!_znacka_zavesy</vt:lpstr>
      <vt:lpstr>kombinace_posuv!_znacka_zavesy</vt:lpstr>
      <vt:lpstr>_znacka_zavesy</vt:lpstr>
      <vt:lpstr>_znacka_zavesy_proROMA</vt:lpstr>
      <vt:lpstr>AV_HF</vt:lpstr>
      <vt:lpstr>AV_HF_SD</vt:lpstr>
      <vt:lpstr>AV_HK</vt:lpstr>
      <vt:lpstr>AV_HK_SD</vt:lpstr>
      <vt:lpstr>AV_HK_TIP</vt:lpstr>
      <vt:lpstr>AV_HKS</vt:lpstr>
      <vt:lpstr>AV_HKS_TIP</vt:lpstr>
      <vt:lpstr>AV_HKXS</vt:lpstr>
      <vt:lpstr>AV_HKXS_TIP</vt:lpstr>
      <vt:lpstr>AV_HL</vt:lpstr>
      <vt:lpstr>AV_HL_SD</vt:lpstr>
      <vt:lpstr>AV_HS</vt:lpstr>
      <vt:lpstr>AV_HS_SD</vt:lpstr>
      <vt:lpstr>AV_OST</vt:lpstr>
      <vt:lpstr>BLUM</vt:lpstr>
      <vt:lpstr>BLUM_WIDE</vt:lpstr>
      <vt:lpstr>DOL_DV</vt:lpstr>
      <vt:lpstr>DOLE</vt:lpstr>
      <vt:lpstr>DP</vt:lpstr>
      <vt:lpstr>DTDL_18</vt:lpstr>
      <vt:lpstr>dw</vt:lpstr>
      <vt:lpstr>HETTICH</vt:lpstr>
      <vt:lpstr>HM_UCH</vt:lpstr>
      <vt:lpstr>HOR_DV</vt:lpstr>
      <vt:lpstr>Ceny_n!MAX_ROZ_RAM</vt:lpstr>
      <vt:lpstr>MAX_ROZ_RAM</vt:lpstr>
      <vt:lpstr>MDF_16</vt:lpstr>
      <vt:lpstr>MDF_18</vt:lpstr>
      <vt:lpstr>Ceny_n!MIN_POZ_ZAVES</vt:lpstr>
      <vt:lpstr>MIN_POZ_ZAVES</vt:lpstr>
      <vt:lpstr>Ceny_n!MIN_POZ_ZAVES_80</vt:lpstr>
      <vt:lpstr>MIN_POZ_ZAVES_80</vt:lpstr>
      <vt:lpstr>Ceny_n!MIN_ROZ_RAM</vt:lpstr>
      <vt:lpstr>MIN_ROZ_RAM</vt:lpstr>
      <vt:lpstr>NAHORE</vt:lpstr>
      <vt:lpstr>OBE_STRANY</vt:lpstr>
      <vt:lpstr>_souhrn!Oblast_tisku</vt:lpstr>
      <vt:lpstr>'_souhrn (2)'!Oblast_tisku</vt:lpstr>
      <vt:lpstr>Ram_1!Oblast_tisku</vt:lpstr>
      <vt:lpstr>Ram_2!Oblast_tisku</vt:lpstr>
      <vt:lpstr>Ram_3!Oblast_tisku</vt:lpstr>
      <vt:lpstr>Ram_4!Oblast_tisku</vt:lpstr>
      <vt:lpstr>Ram_5!Oblast_tisku</vt:lpstr>
      <vt:lpstr>Ram_6!Oblast_tisku</vt:lpstr>
      <vt:lpstr>PANTY_TAB1</vt:lpstr>
      <vt:lpstr>POC_ZAVES</vt:lpstr>
      <vt:lpstr>POZ_RAM</vt:lpstr>
      <vt:lpstr>POZICE_RAMENE</vt:lpstr>
      <vt:lpstr>PRAZDNE_1</vt:lpstr>
      <vt:lpstr>PROV_2_CILKA</vt:lpstr>
      <vt:lpstr>SIR_RAM</vt:lpstr>
      <vt:lpstr>síťka_pro_bílýprofil</vt:lpstr>
      <vt:lpstr>síťka_pro_černýprofil</vt:lpstr>
      <vt:lpstr>síťka_pro_eloxprofil</vt:lpstr>
      <vt:lpstr>síťka_pro_zlatýprofil</vt:lpstr>
      <vt:lpstr>STRONG_BINT_TL</vt:lpstr>
      <vt:lpstr>STRONG_INT_TL</vt:lpstr>
      <vt:lpstr>STRONGHINGES</vt:lpstr>
      <vt:lpstr>T1_PANT_BLUM</vt:lpstr>
      <vt:lpstr>T1_PANT_HETTICH</vt:lpstr>
      <vt:lpstr>T1_PANT_STRONG_BTL</vt:lpstr>
      <vt:lpstr>T1_PANT_STRONG_PLUS</vt:lpstr>
      <vt:lpstr>T1_PANT_STRONG_STL</vt:lpstr>
      <vt:lpstr>T2_PANT_BLUM</vt:lpstr>
      <vt:lpstr>T2_PANT_HETTICH</vt:lpstr>
      <vt:lpstr>T2_PANT_STRONG_BTL</vt:lpstr>
      <vt:lpstr>T2_PANT_STRONG_STL</vt:lpstr>
      <vt:lpstr>T3_PANT_BLUM</vt:lpstr>
      <vt:lpstr>T3_PANT_HETTICH</vt:lpstr>
      <vt:lpstr>T3_PANT_STRONG_BTL</vt:lpstr>
      <vt:lpstr>T3_PANT_STRONG_STL</vt:lpstr>
      <vt:lpstr>T4_PANT_BLUM</vt:lpstr>
      <vt:lpstr>T4_PANT_HETTICH</vt:lpstr>
      <vt:lpstr>T4_PANT_STRONG_BTL</vt:lpstr>
      <vt:lpstr>T4_PANT_STRONG_STL</vt:lpstr>
      <vt:lpstr>T5_PANT_BLUM</vt:lpstr>
      <vt:lpstr>T5_PANT_HETTICH</vt:lpstr>
      <vt:lpstr>T5_PANT_STRONG_BTL</vt:lpstr>
      <vt:lpstr>T5_PANT_STRONG_STL</vt:lpstr>
      <vt:lpstr>T6_PANT_BLUM</vt:lpstr>
      <vt:lpstr>T6_PANT_HETTICH</vt:lpstr>
      <vt:lpstr>T6_PANT_STRONG_BTL</vt:lpstr>
      <vt:lpstr>TYP_AV</vt:lpstr>
      <vt:lpstr>TYP_PODL</vt:lpstr>
      <vt:lpstr>TYP_RAM</vt:lpstr>
      <vt:lpstr>TYP_ZAV</vt:lpstr>
      <vt:lpstr>UZKY_RAM</vt:lpstr>
      <vt:lpstr>VLEVO</vt:lpstr>
      <vt:lpstr>VPRAVO</vt:lpstr>
      <vt:lpstr>VYBER_SEZN</vt:lpstr>
      <vt:lpstr>VYR_ZAVES</vt:lpstr>
      <vt:lpstr>VZD_ZAVES</vt:lpstr>
      <vt:lpstr>ZAVESY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2024-04-17T10:25:08Z</cp:lastPrinted>
  <dcterms:created xsi:type="dcterms:W3CDTF">2008-11-20T10:06:03Z</dcterms:created>
  <dcterms:modified xsi:type="dcterms:W3CDTF">2024-11-06T07:08:19Z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